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71525_calc_updates/"/>
    </mc:Choice>
  </mc:AlternateContent>
  <xr:revisionPtr revIDLastSave="74" documentId="8_{40A102D6-B99E-4371-80EA-A21F3470BC0D}" xr6:coauthVersionLast="47" xr6:coauthVersionMax="47" xr10:uidLastSave="{77D24C8E-86F5-4352-8E98-2C7243E890E6}"/>
  <bookViews>
    <workbookView xWindow="28680" yWindow="-120" windowWidth="29040" windowHeight="15720" tabRatio="805" firstSheet="1" activeTab="1" xr2:uid="{00000000-000D-0000-FFFF-FFFF00000000}"/>
  </bookViews>
  <sheets>
    <sheet name="ADM Review Comments" sheetId="19" state="hidden" r:id="rId1"/>
    <sheet name="Instructions" sheetId="16" r:id="rId2"/>
    <sheet name="Methodology" sheetId="11" state="hidden" r:id="rId3"/>
    <sheet name="Project Summary" sheetId="17" r:id="rId4"/>
    <sheet name="Air Compressor" sheetId="18" r:id="rId5"/>
    <sheet name="Cycling Dryer" sheetId="12" r:id="rId6"/>
    <sheet name="Air Nozzle" sheetId="13" r:id="rId7"/>
    <sheet name="Condensate Drains" sheetId="14" r:id="rId8"/>
    <sheet name="Air Tanks" sheetId="15" r:id="rId9"/>
    <sheet name="Version Log" sheetId="2" state="hidden" r:id="rId10"/>
    <sheet name="Lookup Tables" sheetId="9" state="hidden" r:id="rId11"/>
  </sheets>
  <externalReferences>
    <externalReference r:id="rId12"/>
    <externalReference r:id="rId13"/>
  </externalReferences>
  <definedNames>
    <definedName name="Coincidence">[1]Lookups!$AM$7:$AQ$152</definedName>
    <definedName name="Motor_HOU">[1]Lookups!$AB$7:$AF$152</definedName>
    <definedName name="NEMA_Design_A_or_B">[1]Lookups!$H$10:$O$37</definedName>
    <definedName name="NEMA_Design_C">[1]Lookups!$R$10:$W$31</definedName>
    <definedName name="VFD_Load_Profiles">[1]Lookups!$AU$7:$BE$18</definedName>
    <definedName name="VFD_Power_Profiles">[1]Lookups!$AU$27:$BE$36</definedName>
    <definedName name="xBuilding_Location">[2]Dropdowns!$D$1:$D$8</definedName>
    <definedName name="xyAC_Cooling_EFLHs">[2]Lookups!$B$3:$I$25</definedName>
    <definedName name="xyChiller_CFs">[2]Lookups!$K$28:$R$38</definedName>
    <definedName name="xyChiller_Cooling_EFLHs">[2]Lookups!$K$3:$R$13</definedName>
    <definedName name="xyHeating_EFLHs">[2]Lookups!$B$28:$I$50</definedName>
    <definedName name="xyHVAC_CFs">[2]Lookups!$B$53:$I$75</definedName>
    <definedName name="yBuilding_Type_Chillers">[2]Dropdowns!$B$1:$B$11</definedName>
    <definedName name="yBuilding_Type_HVAC">[2]Dropdowns!$A$1:$A$23</definedName>
    <definedName name="yChiller_EER_base">'[2]Efficiency Tables'!$I$3:$I$11</definedName>
    <definedName name="yChiller_MaxCapacity">'[2]Efficiency Tables'!$F$3:$F$11</definedName>
    <definedName name="yChiller_MinCapacity">'[2]Efficiency Tables'!$E$3:$E$11</definedName>
    <definedName name="yChiller_Type">'[2]Efficiency Tables'!$B$3:$B$11</definedName>
    <definedName name="yCOP_base">'[2]Efficiency Tables'!$J$15:$J$52</definedName>
    <definedName name="yCOP_PT_a">'[2]Efficiency Tables'!$F$55:$F$58</definedName>
    <definedName name="yEER_base">'[2]Efficiency Tables'!$H$15:$H$52</definedName>
    <definedName name="yEER_PT_a">'[2]Efficiency Tables'!$D$55:$D$58</definedName>
    <definedName name="yER_Existence">'[2]Efficiency Tables'!$C$15:$C$52</definedName>
    <definedName name="yHSPF_base">'[2]Efficiency Tables'!$K$15:$K$52</definedName>
    <definedName name="yHVAC_MaxCapacity">'[2]Efficiency Tables'!$F$15:$F$52</definedName>
    <definedName name="yHVAC_MinCapacity">'[2]Efficiency Tables'!$E$15:$E$52</definedName>
    <definedName name="yHVAC_Type">'[2]Efficiency Tables'!$B$15:$B$52</definedName>
    <definedName name="yIEER_base">'[2]Efficiency Tables'!$G$15:$G$52</definedName>
    <definedName name="yIPLV_base">'[2]Efficiency Tables'!$G$3:$G$11</definedName>
    <definedName name="ykWperton_base">'[2]Efficiency Tables'!$H$3:$H$11</definedName>
    <definedName name="yProject_Type">[2]Dropdowns!$C$2:$C$3</definedName>
    <definedName name="ySEER_base">'[2]Efficiency Tables'!$I$15:$I$52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7" l="1"/>
  <c r="H36" i="17"/>
  <c r="H35" i="17"/>
  <c r="H34" i="17"/>
  <c r="H33" i="17"/>
  <c r="R12" i="17"/>
  <c r="R15" i="18"/>
  <c r="R14" i="18"/>
  <c r="R13" i="18"/>
  <c r="R12" i="18"/>
  <c r="R11" i="18"/>
  <c r="R10" i="18"/>
  <c r="R8" i="18"/>
  <c r="M15" i="18"/>
  <c r="M14" i="18"/>
  <c r="M13" i="18"/>
  <c r="M12" i="18"/>
  <c r="M11" i="18"/>
  <c r="M10" i="18"/>
  <c r="M8" i="18"/>
  <c r="E33" i="17"/>
  <c r="O15" i="18"/>
  <c r="P15" i="18"/>
  <c r="O11" i="18"/>
  <c r="O12" i="18"/>
  <c r="O13" i="18"/>
  <c r="P13" i="18"/>
  <c r="O14" i="18"/>
  <c r="Q14" i="18" s="1"/>
  <c r="M9" i="18"/>
  <c r="O9" i="18"/>
  <c r="R9" i="18"/>
  <c r="O10" i="18"/>
  <c r="P10" i="18"/>
  <c r="K11" i="18"/>
  <c r="P11" i="18" s="1"/>
  <c r="K12" i="18"/>
  <c r="K13" i="18"/>
  <c r="K14" i="18"/>
  <c r="P14" i="18" s="1"/>
  <c r="K15" i="18"/>
  <c r="K9" i="18"/>
  <c r="P9" i="18" s="1"/>
  <c r="K10" i="18"/>
  <c r="O8" i="18"/>
  <c r="K8" i="18"/>
  <c r="P8" i="18" s="1"/>
  <c r="N17" i="15"/>
  <c r="N16" i="15"/>
  <c r="N15" i="15"/>
  <c r="N14" i="15"/>
  <c r="N13" i="15"/>
  <c r="N12" i="15"/>
  <c r="N11" i="15"/>
  <c r="N10" i="15"/>
  <c r="N9" i="15"/>
  <c r="N8" i="15"/>
  <c r="O17" i="14"/>
  <c r="O16" i="14"/>
  <c r="O15" i="14"/>
  <c r="O14" i="14"/>
  <c r="O13" i="14"/>
  <c r="O12" i="14"/>
  <c r="O11" i="14"/>
  <c r="O10" i="14"/>
  <c r="O9" i="14"/>
  <c r="O8" i="14"/>
  <c r="N15" i="13"/>
  <c r="P15" i="13" s="1"/>
  <c r="N14" i="13"/>
  <c r="O14" i="13" s="1"/>
  <c r="N13" i="13"/>
  <c r="O13" i="13" s="1"/>
  <c r="N12" i="13"/>
  <c r="P12" i="13" s="1"/>
  <c r="H9" i="13"/>
  <c r="H8" i="14"/>
  <c r="J17" i="14"/>
  <c r="J16" i="14"/>
  <c r="J15" i="14"/>
  <c r="J14" i="14"/>
  <c r="J13" i="14"/>
  <c r="J12" i="14"/>
  <c r="J11" i="14"/>
  <c r="J10" i="14"/>
  <c r="J9" i="14"/>
  <c r="J8" i="14"/>
  <c r="H17" i="14"/>
  <c r="H16" i="14"/>
  <c r="H15" i="14"/>
  <c r="H14" i="14"/>
  <c r="H13" i="14"/>
  <c r="H12" i="14"/>
  <c r="H11" i="14"/>
  <c r="H10" i="14"/>
  <c r="H9" i="14"/>
  <c r="M18" i="13"/>
  <c r="M17" i="13"/>
  <c r="M16" i="13"/>
  <c r="M15" i="13"/>
  <c r="M14" i="13"/>
  <c r="M13" i="13"/>
  <c r="M12" i="13"/>
  <c r="M11" i="13"/>
  <c r="M10" i="13"/>
  <c r="M9" i="13"/>
  <c r="L18" i="13"/>
  <c r="N18" i="13" s="1"/>
  <c r="L17" i="13"/>
  <c r="N17" i="13" s="1"/>
  <c r="L16" i="13"/>
  <c r="N16" i="13" s="1"/>
  <c r="L15" i="13"/>
  <c r="L14" i="13"/>
  <c r="L13" i="13"/>
  <c r="L12" i="13"/>
  <c r="L11" i="13"/>
  <c r="N11" i="13" s="1"/>
  <c r="L10" i="13"/>
  <c r="N10" i="13" s="1"/>
  <c r="L9" i="13"/>
  <c r="J18" i="13"/>
  <c r="J17" i="13"/>
  <c r="J16" i="13"/>
  <c r="J15" i="13"/>
  <c r="J14" i="13"/>
  <c r="J13" i="13"/>
  <c r="J12" i="13"/>
  <c r="J11" i="13"/>
  <c r="J10" i="13"/>
  <c r="J9" i="13"/>
  <c r="H18" i="13"/>
  <c r="H17" i="13"/>
  <c r="H16" i="13"/>
  <c r="H15" i="13"/>
  <c r="H14" i="13"/>
  <c r="H13" i="13"/>
  <c r="H12" i="13"/>
  <c r="H11" i="13"/>
  <c r="H10" i="13"/>
  <c r="F18" i="13"/>
  <c r="F17" i="13"/>
  <c r="F16" i="13"/>
  <c r="F15" i="13"/>
  <c r="F14" i="13"/>
  <c r="F13" i="13"/>
  <c r="F12" i="13"/>
  <c r="F11" i="13"/>
  <c r="F10" i="13"/>
  <c r="F9" i="13"/>
  <c r="P11" i="13" l="1"/>
  <c r="O11" i="13"/>
  <c r="O10" i="13"/>
  <c r="P10" i="13"/>
  <c r="P16" i="13"/>
  <c r="O16" i="13"/>
  <c r="O18" i="13"/>
  <c r="P18" i="13"/>
  <c r="P17" i="13"/>
  <c r="O17" i="13"/>
  <c r="O15" i="13"/>
  <c r="N9" i="13"/>
  <c r="P14" i="13"/>
  <c r="O12" i="13"/>
  <c r="P13" i="13"/>
  <c r="Q11" i="18"/>
  <c r="P9" i="13"/>
  <c r="O9" i="13"/>
  <c r="P12" i="18"/>
  <c r="Q12" i="18" s="1"/>
  <c r="S12" i="18" s="1"/>
  <c r="Q15" i="18"/>
  <c r="S15" i="18" s="1"/>
  <c r="T15" i="18" s="1"/>
  <c r="S14" i="18"/>
  <c r="T14" i="18" s="1"/>
  <c r="S11" i="18"/>
  <c r="U11" i="18" s="1"/>
  <c r="Q13" i="18"/>
  <c r="S13" i="18" s="1"/>
  <c r="Q10" i="18"/>
  <c r="S10" i="18" s="1"/>
  <c r="Q9" i="18"/>
  <c r="S9" i="18" s="1"/>
  <c r="Q8" i="18"/>
  <c r="S8" i="18" s="1"/>
  <c r="U8" i="18" s="1"/>
  <c r="K8" i="15"/>
  <c r="T9" i="18" l="1"/>
  <c r="U9" i="18"/>
  <c r="T10" i="18"/>
  <c r="U10" i="18"/>
  <c r="T13" i="18"/>
  <c r="U13" i="18"/>
  <c r="T12" i="18"/>
  <c r="U12" i="18"/>
  <c r="T11" i="18"/>
  <c r="U14" i="18"/>
  <c r="U15" i="18"/>
  <c r="F33" i="17"/>
  <c r="T8" i="18"/>
  <c r="E25" i="17"/>
  <c r="C25" i="17"/>
  <c r="G33" i="17" l="1"/>
  <c r="L12" i="15"/>
  <c r="I9" i="12"/>
  <c r="M9" i="12" s="1"/>
  <c r="I10" i="12"/>
  <c r="M10" i="12" s="1"/>
  <c r="M8" i="14"/>
  <c r="L14" i="15"/>
  <c r="I11" i="12"/>
  <c r="M11" i="12" s="1"/>
  <c r="M9" i="14"/>
  <c r="L15" i="15"/>
  <c r="I12" i="12"/>
  <c r="M12" i="12" s="1"/>
  <c r="M10" i="14"/>
  <c r="L16" i="15"/>
  <c r="L13" i="15"/>
  <c r="I13" i="12"/>
  <c r="M13" i="12" s="1"/>
  <c r="L17" i="15"/>
  <c r="I17" i="12"/>
  <c r="M17" i="12" s="1"/>
  <c r="M15" i="14"/>
  <c r="L9" i="15"/>
  <c r="M11" i="14"/>
  <c r="I14" i="12"/>
  <c r="M14" i="12" s="1"/>
  <c r="M12" i="14"/>
  <c r="I15" i="12"/>
  <c r="M15" i="12" s="1"/>
  <c r="M13" i="14"/>
  <c r="I16" i="12"/>
  <c r="M16" i="12" s="1"/>
  <c r="M14" i="14"/>
  <c r="L8" i="15"/>
  <c r="M16" i="14"/>
  <c r="L10" i="15"/>
  <c r="M17" i="14"/>
  <c r="L11" i="15"/>
  <c r="I8" i="12"/>
  <c r="M8" i="12" s="1"/>
  <c r="O16" i="15" l="1"/>
  <c r="K12" i="12"/>
  <c r="P9" i="14"/>
  <c r="K8" i="12"/>
  <c r="P11" i="14"/>
  <c r="K11" i="12"/>
  <c r="P14" i="14"/>
  <c r="P13" i="14"/>
  <c r="O14" i="15"/>
  <c r="P8" i="14"/>
  <c r="K10" i="12"/>
  <c r="K16" i="12"/>
  <c r="P10" i="14"/>
  <c r="P12" i="14"/>
  <c r="K14" i="12"/>
  <c r="O11" i="15"/>
  <c r="P17" i="14"/>
  <c r="O10" i="15"/>
  <c r="P16" i="14"/>
  <c r="O17" i="15"/>
  <c r="K9" i="12"/>
  <c r="K15" i="12"/>
  <c r="O15" i="15"/>
  <c r="O9" i="15"/>
  <c r="P15" i="14"/>
  <c r="O8" i="15"/>
  <c r="K13" i="12"/>
  <c r="O12" i="15"/>
  <c r="O13" i="15"/>
  <c r="K17" i="12"/>
  <c r="I51" i="17"/>
  <c r="I45" i="17"/>
  <c r="H55" i="17"/>
  <c r="G55" i="17"/>
  <c r="F55" i="17"/>
  <c r="E55" i="17"/>
  <c r="H54" i="17"/>
  <c r="G54" i="17"/>
  <c r="F54" i="17"/>
  <c r="E54" i="17"/>
  <c r="H53" i="17"/>
  <c r="G53" i="17"/>
  <c r="F53" i="17"/>
  <c r="E53" i="17"/>
  <c r="H52" i="17"/>
  <c r="G52" i="17"/>
  <c r="F52" i="17"/>
  <c r="E52" i="17"/>
  <c r="H51" i="17"/>
  <c r="G51" i="17"/>
  <c r="F51" i="17"/>
  <c r="E51" i="17"/>
  <c r="H49" i="17"/>
  <c r="G49" i="17"/>
  <c r="F49" i="17"/>
  <c r="E49" i="17"/>
  <c r="H48" i="17"/>
  <c r="G48" i="17"/>
  <c r="F48" i="17"/>
  <c r="E48" i="17"/>
  <c r="H47" i="17"/>
  <c r="G47" i="17"/>
  <c r="F47" i="17"/>
  <c r="E47" i="17"/>
  <c r="H46" i="17"/>
  <c r="G46" i="17"/>
  <c r="F46" i="17"/>
  <c r="E46" i="17"/>
  <c r="H45" i="17"/>
  <c r="G45" i="17"/>
  <c r="F45" i="17"/>
  <c r="E45" i="17"/>
  <c r="E56" i="17" l="1"/>
  <c r="E50" i="17"/>
  <c r="C26" i="17" s="1"/>
  <c r="K18" i="9" l="1"/>
  <c r="K9" i="15" l="1"/>
  <c r="K10" i="15"/>
  <c r="K11" i="15"/>
  <c r="K12" i="15"/>
  <c r="K13" i="15"/>
  <c r="K14" i="15"/>
  <c r="K15" i="15"/>
  <c r="K16" i="15"/>
  <c r="K17" i="15"/>
  <c r="E37" i="17" l="1"/>
  <c r="E35" i="17"/>
  <c r="E34" i="17"/>
  <c r="N18" i="15" l="1"/>
  <c r="F37" i="17" s="1"/>
  <c r="L18" i="14"/>
  <c r="E36" i="17" s="1"/>
  <c r="F9" i="14"/>
  <c r="F10" i="14"/>
  <c r="F11" i="14"/>
  <c r="F12" i="14"/>
  <c r="F13" i="14"/>
  <c r="F14" i="14"/>
  <c r="F15" i="14"/>
  <c r="F16" i="14"/>
  <c r="F17" i="14"/>
  <c r="K17" i="9"/>
  <c r="K19" i="9"/>
  <c r="K20" i="9"/>
  <c r="K21" i="9"/>
  <c r="K22" i="9"/>
  <c r="K23" i="9"/>
  <c r="K24" i="9"/>
  <c r="K25" i="9"/>
  <c r="K16" i="9"/>
  <c r="F8" i="14" s="1"/>
  <c r="D19" i="13"/>
  <c r="N19" i="13" l="1"/>
  <c r="F35" i="17" s="1"/>
  <c r="O18" i="14"/>
  <c r="F36" i="17" s="1"/>
  <c r="M18" i="12"/>
  <c r="F34" i="17" s="1"/>
  <c r="K18" i="12" l="1"/>
  <c r="O19" i="13"/>
  <c r="E29" i="17"/>
  <c r="E26" i="17" l="1"/>
  <c r="M14" i="15" l="1"/>
  <c r="P14" i="15" s="1"/>
  <c r="N8" i="14"/>
  <c r="Q8" i="14" s="1"/>
  <c r="J10" i="12"/>
  <c r="L10" i="12" s="1"/>
  <c r="M13" i="15"/>
  <c r="P13" i="15" s="1"/>
  <c r="J9" i="12"/>
  <c r="L9" i="12" s="1"/>
  <c r="M12" i="15"/>
  <c r="P12" i="15" s="1"/>
  <c r="J8" i="12"/>
  <c r="L8" i="12" s="1"/>
  <c r="J15" i="12"/>
  <c r="L15" i="12" s="1"/>
  <c r="N9" i="14"/>
  <c r="Q9" i="14" s="1"/>
  <c r="M11" i="15"/>
  <c r="P11" i="15" s="1"/>
  <c r="N17" i="14"/>
  <c r="Q17" i="14" s="1"/>
  <c r="M10" i="15"/>
  <c r="P10" i="15" s="1"/>
  <c r="N16" i="14"/>
  <c r="Q16" i="14" s="1"/>
  <c r="M9" i="15"/>
  <c r="P9" i="15" s="1"/>
  <c r="N15" i="14"/>
  <c r="Q15" i="14" s="1"/>
  <c r="J17" i="12"/>
  <c r="L17" i="12" s="1"/>
  <c r="M8" i="15"/>
  <c r="P8" i="15" s="1"/>
  <c r="N14" i="14"/>
  <c r="Q14" i="14" s="1"/>
  <c r="J16" i="12"/>
  <c r="L16" i="12" s="1"/>
  <c r="N13" i="14"/>
  <c r="Q13" i="14" s="1"/>
  <c r="N12" i="14"/>
  <c r="Q12" i="14" s="1"/>
  <c r="J14" i="12"/>
  <c r="L14" i="12" s="1"/>
  <c r="M17" i="15"/>
  <c r="P17" i="15" s="1"/>
  <c r="N11" i="14"/>
  <c r="Q11" i="14" s="1"/>
  <c r="J13" i="12"/>
  <c r="L13" i="12" s="1"/>
  <c r="M16" i="15"/>
  <c r="P16" i="15" s="1"/>
  <c r="N10" i="14"/>
  <c r="Q10" i="14" s="1"/>
  <c r="J12" i="12"/>
  <c r="L12" i="12" s="1"/>
  <c r="M15" i="15"/>
  <c r="P15" i="15" s="1"/>
  <c r="J11" i="12"/>
  <c r="L11" i="12" s="1"/>
  <c r="L18" i="12" l="1"/>
  <c r="G34" i="17" s="1"/>
  <c r="P18" i="15"/>
  <c r="G37" i="17" s="1"/>
  <c r="Q18" i="14"/>
  <c r="G36" i="17" s="1"/>
  <c r="P19" i="13"/>
  <c r="G35" i="17" s="1"/>
  <c r="E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H9" authorId="0" shapeId="0" xr:uid="{9C333878-6C19-475C-B98B-133F03E3CB05}">
      <text>
        <r>
          <rPr>
            <sz val="9"/>
            <color indexed="81"/>
            <rFont val="Tahoma"/>
            <family val="2"/>
          </rPr>
          <t>For internal use.
The applicant may leave this field blank.</t>
        </r>
      </text>
    </comment>
    <comment ref="H10" authorId="0" shapeId="0" xr:uid="{5A56D40D-F595-42B5-B6ED-63D7EB27C58B}">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Mindy Guilfoyle</author>
    <author>Ashley Faircloth</author>
  </authors>
  <commentList>
    <comment ref="F8" authorId="0" shapeId="0" xr:uid="{1F63AD8A-EEEA-4363-9C78-16A128B5D16C}">
      <text>
        <r>
          <rPr>
            <b/>
            <sz val="9"/>
            <color indexed="81"/>
            <rFont val="Tahoma"/>
            <family val="2"/>
          </rPr>
          <t>User may override.</t>
        </r>
        <r>
          <rPr>
            <sz val="9"/>
            <color indexed="81"/>
            <rFont val="Tahoma"/>
            <family val="2"/>
          </rPr>
          <t xml:space="preserve">
</t>
        </r>
      </text>
    </comment>
    <comment ref="H8" authorId="0" shapeId="0" xr:uid="{C04FBB65-4767-4773-B165-836695C69F2A}">
      <text>
        <r>
          <rPr>
            <b/>
            <sz val="9"/>
            <color indexed="81"/>
            <rFont val="Tahoma"/>
            <family val="2"/>
          </rPr>
          <t>User may override.</t>
        </r>
        <r>
          <rPr>
            <sz val="9"/>
            <color indexed="81"/>
            <rFont val="Tahoma"/>
            <family val="2"/>
          </rPr>
          <t xml:space="preserve">
</t>
        </r>
      </text>
    </comment>
    <comment ref="J8" authorId="0" shapeId="0" xr:uid="{C03516D0-D74A-4088-BC41-2B60D45C0899}">
      <text>
        <r>
          <rPr>
            <b/>
            <sz val="9"/>
            <color indexed="81"/>
            <rFont val="Tahoma"/>
            <family val="2"/>
          </rPr>
          <t>User may override.</t>
        </r>
        <r>
          <rPr>
            <sz val="9"/>
            <color indexed="81"/>
            <rFont val="Tahoma"/>
            <family val="2"/>
          </rPr>
          <t xml:space="preserve">
</t>
        </r>
      </text>
    </comment>
    <comment ref="K8" authorId="1" shapeId="0" xr:uid="{032D8ACD-1A0D-418D-B8C6-52026DB47C95}">
      <text>
        <r>
          <rPr>
            <b/>
            <sz val="9"/>
            <color indexed="81"/>
            <rFont val="Tahoma"/>
            <family val="2"/>
          </rPr>
          <t>- User may override.
- Maximum % of use is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H7" authorId="0" shapeId="0" xr:uid="{793E0D47-99C6-4E54-9E4C-04121BF95480}">
      <text>
        <r>
          <rPr>
            <b/>
            <sz val="9"/>
            <color indexed="81"/>
            <rFont val="Tahoma"/>
            <family val="2"/>
          </rPr>
          <t>User may override.</t>
        </r>
      </text>
    </comment>
    <comment ref="I7" authorId="0" shapeId="0" xr:uid="{692330ED-1160-4866-82D0-2FA48E4DD5CE}">
      <text>
        <r>
          <rPr>
            <b/>
            <sz val="9"/>
            <color indexed="81"/>
            <rFont val="Tahoma"/>
            <family val="2"/>
          </rPr>
          <t>User may override value.</t>
        </r>
      </text>
    </comment>
    <comment ref="J7" authorId="0" shapeId="0" xr:uid="{3C939A68-3962-40DE-88D8-ECA2046A22F1}">
      <text>
        <r>
          <rPr>
            <b/>
            <sz val="9"/>
            <color indexed="81"/>
            <rFont val="Tahoma"/>
            <family val="2"/>
          </rPr>
          <t xml:space="preserve">User may override
</t>
        </r>
        <r>
          <rPr>
            <sz val="9"/>
            <color indexed="81"/>
            <rFont val="Tahoma"/>
            <family val="2"/>
          </rPr>
          <t>Adjustment Factor; accounts for periods when compressor is not running and the system depressurizes due to leaks and operation of time drains.</t>
        </r>
      </text>
    </comment>
    <comment ref="K7" authorId="0" shapeId="0" xr:uid="{252DBEA0-7785-4482-8F0C-A1942B55F135}">
      <text>
        <r>
          <rPr>
            <b/>
            <sz val="9"/>
            <color indexed="81"/>
            <rFont val="Tahoma"/>
            <family val="2"/>
          </rPr>
          <t>User may override</t>
        </r>
        <r>
          <rPr>
            <sz val="9"/>
            <color indexed="81"/>
            <rFont val="Tahoma"/>
            <family val="2"/>
          </rPr>
          <t xml:space="preserve">
</t>
        </r>
      </text>
    </comment>
  </commentList>
</comments>
</file>

<file path=xl/sharedStrings.xml><?xml version="1.0" encoding="utf-8"?>
<sst xmlns="http://schemas.openxmlformats.org/spreadsheetml/2006/main" count="442" uniqueCount="320">
  <si>
    <t>ADM Reviewer</t>
  </si>
  <si>
    <t>Date</t>
  </si>
  <si>
    <t xml:space="preserve">Worksheet </t>
  </si>
  <si>
    <t>Cell Location</t>
  </si>
  <si>
    <t>Issue</t>
  </si>
  <si>
    <t>Resolution</t>
  </si>
  <si>
    <t>Amir Makhzani</t>
  </si>
  <si>
    <t>Air Compressor</t>
  </si>
  <si>
    <t>Column O</t>
  </si>
  <si>
    <t>Cycling Dryer</t>
  </si>
  <si>
    <t>Column E</t>
  </si>
  <si>
    <t>ACondensate Drains</t>
  </si>
  <si>
    <t>Column G</t>
  </si>
  <si>
    <t>Instructions</t>
  </si>
  <si>
    <t>Worksheet Version</t>
  </si>
  <si>
    <t>Energy Solutions For Business Programs</t>
  </si>
  <si>
    <t xml:space="preserve">This tool is provided to calculate energy and demand savings relating to compressed air measures recognized in Pennsylvania. </t>
  </si>
  <si>
    <t>Project Summary</t>
  </si>
  <si>
    <t>Enter the building's operating schedule in 24hr time format.</t>
  </si>
  <si>
    <t>Air Compressor Replacement</t>
  </si>
  <si>
    <t>This measure is for cycling refrigerated thermal mass dryers. To be eligible, the replaced dryer must be a non-cycling refrigerated air dryer with a capacity of 600 cfm or less.</t>
  </si>
  <si>
    <t>Air Nozzles</t>
  </si>
  <si>
    <t>This measure is for air-entraining air nozzle replacement. To be eligible, the replaced nozzle must be a stationary air nozzle with an open copper tube of 1/8" or 1/4" diameter. The new nozzle, must use less than 15 CFM at 100 psi for industrial applications.</t>
  </si>
  <si>
    <t>Condensate Drains</t>
  </si>
  <si>
    <t>This measure is for no loss condensate drains. To be eligible, the replaced condensate drains must be operated by a solenoid and timer.</t>
  </si>
  <si>
    <t>Air Tanks</t>
  </si>
  <si>
    <t>This measure is for air tanks for load/no load compressors. To be eligible the installed air receiver must have pressure/flow controls to load/no load compressors. There must be a minimum ration of 4 gallons of storage per cfm.</t>
  </si>
  <si>
    <t>White Cells</t>
  </si>
  <si>
    <t>This cell requires an input for the calculator to operate properly</t>
  </si>
  <si>
    <t>Yellow Cells</t>
  </si>
  <si>
    <t>This cell is a default value from the TRM</t>
  </si>
  <si>
    <t>Red Cells</t>
  </si>
  <si>
    <t>The cell indicates a change from a default value and will require data to verify</t>
  </si>
  <si>
    <t>Gray Cells</t>
  </si>
  <si>
    <t>The cell is a calculation and requires no action</t>
  </si>
  <si>
    <t>Blue Cells</t>
  </si>
  <si>
    <t>The cell is a heading</t>
  </si>
  <si>
    <t>Green Cells</t>
  </si>
  <si>
    <t>The cell is a total of the column</t>
  </si>
  <si>
    <t>Light Blue Cells</t>
  </si>
  <si>
    <t>This cell is an overridable value</t>
  </si>
  <si>
    <t>Heading Name</t>
  </si>
  <si>
    <t>Description of Input</t>
  </si>
  <si>
    <t>Building Name</t>
  </si>
  <si>
    <t>The name of the facility</t>
  </si>
  <si>
    <t>Building Schedule</t>
  </si>
  <si>
    <t>The schedule the compressors run on</t>
  </si>
  <si>
    <t>Full Load BHP</t>
  </si>
  <si>
    <t>The full load brake horsepower of the machine</t>
  </si>
  <si>
    <t>Number of Compressors</t>
  </si>
  <si>
    <t>The number of compressors in the system</t>
  </si>
  <si>
    <t>Horsepower of Compressors</t>
  </si>
  <si>
    <t>The horspower of the compressors in the system</t>
  </si>
  <si>
    <t>Nozzle Diameter</t>
  </si>
  <si>
    <t>The diameter of the nozzles; baseline and new</t>
  </si>
  <si>
    <t>Number of Nozzles Installed</t>
  </si>
  <si>
    <t>The number of nozzles installed</t>
  </si>
  <si>
    <t>Compressor Control Type</t>
  </si>
  <si>
    <t>The control type on the compressor</t>
  </si>
  <si>
    <t>Drain Oriface Diameter</t>
  </si>
  <si>
    <t>The diameter of the drain oriface</t>
  </si>
  <si>
    <t>System Pressure</t>
  </si>
  <si>
    <t>The pressure the compressor system runs on</t>
  </si>
  <si>
    <t>Number of Drains Installed</t>
  </si>
  <si>
    <t>Number of drains installed</t>
  </si>
  <si>
    <t>Compressor HP Range</t>
  </si>
  <si>
    <t>The horsepower range the compressors operate in</t>
  </si>
  <si>
    <t>Calculator Methodology</t>
  </si>
  <si>
    <t>Figure 1: PA TRM Info on cycling dryers</t>
  </si>
  <si>
    <t>Figure 2: Equations for cycling dryers</t>
  </si>
  <si>
    <t>Figure 3: Variable Definitions</t>
  </si>
  <si>
    <t>Figure 4: Air Entraining Nozzles information</t>
  </si>
  <si>
    <t>Figure 5: Equation for air entraining nozzle</t>
  </si>
  <si>
    <t>Figure 6: Variable Definitions</t>
  </si>
  <si>
    <t>Figure 7: condensate drains information</t>
  </si>
  <si>
    <t>Figure 8: Equations for compressed air calculations</t>
  </si>
  <si>
    <t>Figure 9: Variable definitions for condensate drains</t>
  </si>
  <si>
    <t>Figure 10: Air tank information</t>
  </si>
  <si>
    <t>Figure 11: Air tank equations</t>
  </si>
  <si>
    <t>Figure 12: air tank variable definitions</t>
  </si>
  <si>
    <t>Figure 13: VSD information</t>
  </si>
  <si>
    <t>Figure 14: VSD equations</t>
  </si>
  <si>
    <t>Figure 15: Definitions</t>
  </si>
  <si>
    <t>Figure 16: VSD Hours per Year, CF factors</t>
  </si>
  <si>
    <t>Deemed Compressed Air Savings</t>
  </si>
  <si>
    <t>Building Operation Schedule</t>
  </si>
  <si>
    <t>Please enter the building operational hours as On/Off times each day in 24-hr. format. The first column shows an example of a facility open 8am to 5pm on weekdays, and 24 hours on the weekends for reference.</t>
  </si>
  <si>
    <t>Example</t>
  </si>
  <si>
    <t>&lt;Input Name&gt;</t>
  </si>
  <si>
    <t>On</t>
  </si>
  <si>
    <t>Off</t>
  </si>
  <si>
    <t>Monday</t>
  </si>
  <si>
    <t>Tuesday</t>
  </si>
  <si>
    <t>Wednesday</t>
  </si>
  <si>
    <t>Thursday</t>
  </si>
  <si>
    <t>Friday</t>
  </si>
  <si>
    <t>Saturday</t>
  </si>
  <si>
    <t>Sunday</t>
  </si>
  <si>
    <t>Holidays Observed Annual</t>
  </si>
  <si>
    <t>Yearly Operating Weeks</t>
  </si>
  <si>
    <t>Unoccupied Peak Weeks</t>
  </si>
  <si>
    <t>Hours of Use</t>
  </si>
  <si>
    <t>Coincidence Factor</t>
  </si>
  <si>
    <t>Estimated Annual kWh Savings</t>
  </si>
  <si>
    <t>Estimated Annual kW Savings</t>
  </si>
  <si>
    <t>Measure</t>
  </si>
  <si>
    <t>Quantity</t>
  </si>
  <si>
    <t>kWh</t>
  </si>
  <si>
    <t>Peak kW</t>
  </si>
  <si>
    <t>Air Nozzle</t>
  </si>
  <si>
    <t>Custom Coincidence Factor Calculations</t>
  </si>
  <si>
    <t>CF</t>
  </si>
  <si>
    <t>Variable Speed Drive Air Compressor</t>
  </si>
  <si>
    <t>Facility Information</t>
  </si>
  <si>
    <t>Baseline Information</t>
  </si>
  <si>
    <t>Proposed Information</t>
  </si>
  <si>
    <t>Data Values</t>
  </si>
  <si>
    <t>Calulations</t>
  </si>
  <si>
    <t>Line Item</t>
  </si>
  <si>
    <t>Existing Manufacturer</t>
  </si>
  <si>
    <t>Existing Model Number</t>
  </si>
  <si>
    <t>Existing Control</t>
  </si>
  <si>
    <t>Pressure (PSI)</t>
  </si>
  <si>
    <t>New Manufacturer</t>
  </si>
  <si>
    <t>New Model Number</t>
  </si>
  <si>
    <t>Proposed Control</t>
  </si>
  <si>
    <t>Facility HOU</t>
  </si>
  <si>
    <t>kW factor</t>
  </si>
  <si>
    <r>
      <rPr>
        <b/>
        <sz val="11"/>
        <color theme="0"/>
        <rFont val="Symbol"/>
        <family val="1"/>
        <charset val="2"/>
      </rPr>
      <t>D</t>
    </r>
    <r>
      <rPr>
        <b/>
        <sz val="11"/>
        <color theme="0"/>
        <rFont val="Calibri"/>
        <family val="2"/>
        <scheme val="minor"/>
      </rPr>
      <t xml:space="preserve"> CLF</t>
    </r>
  </si>
  <si>
    <t>Annual kWh</t>
  </si>
  <si>
    <t>Non Coincident Peak kW</t>
  </si>
  <si>
    <t>Single Shift (8/5)</t>
  </si>
  <si>
    <t>Variable Speed Drive</t>
  </si>
  <si>
    <t>Cycling Dryers</t>
  </si>
  <si>
    <t>A Cycling Refrigerated Thermal Mass Dryer uses a thermal storage medium to store cooling capacity when the system is operated at partial loads allowing the dryer refrigerant compressor to cycle.  This measure is targeted to customers with non-cycling (e.g., continuous) air dryer with a capacity of 600 cfm or below. The replacement of desiccant, deliquescent, heat-of-compression, membrane, or other types of dryers does not qualify under this measure.  Efficient conditions are a cycling thermal mass dryer with a capacity of 600 cfm or below.</t>
  </si>
  <si>
    <t>Data Inputs</t>
  </si>
  <si>
    <t>Results</t>
  </si>
  <si>
    <t xml:space="preserve"> Total Horsepower of Compressor(s)</t>
  </si>
  <si>
    <t>Compressor Output CFM/HP (Default: 4)</t>
  </si>
  <si>
    <t>kWdryer/CFMcomp (Default: 0.0087)</t>
  </si>
  <si>
    <t>Chilled Coil Response Time Derate (Default: 0.925)</t>
  </si>
  <si>
    <t>Average Compressor Operating Capacity (Default: 0.65)</t>
  </si>
  <si>
    <t>Hours of Operation</t>
  </si>
  <si>
    <t>Non Coincident kW</t>
  </si>
  <si>
    <t>Peak kW Savings</t>
  </si>
  <si>
    <t>Annual kWh Savings</t>
  </si>
  <si>
    <t>Totals</t>
  </si>
  <si>
    <t>Entraining Air Nozzles</t>
  </si>
  <si>
    <t>Air entraining air nozzles use compressed air to entrain and amplify atmospheric air into a stream, increasing pressure with minimal compressed air use. This decreases the compressor work necessary to provide the nozzles with compressed air. This measure is targeted to customers whose compressed air equipment uses stationary air nozzles in a production application with an open copper tube of 1/8” or 1/4” orifice diameter.  Energy efficient conditions require replacement of an inefficient, non-air entraining air nozzle with an energy efficient air-entraining air nozzle that use less than 15 CFM at 100 psi for industrial applications.</t>
  </si>
  <si>
    <t>Input Data</t>
  </si>
  <si>
    <t>Baseline Nozzle Diameter</t>
  </si>
  <si>
    <t>Baseline Nozzle Air Mass Flow</t>
  </si>
  <si>
    <t>Energy Efficient Nozzle Diameter</t>
  </si>
  <si>
    <t>Energy Efficient Nozzle Air Mass Flow</t>
  </si>
  <si>
    <t>Ratio of Compressor kW/CFM</t>
  </si>
  <si>
    <t>Percent of Hours when Nozzle is in Use (Default 5%, max 10%)</t>
  </si>
  <si>
    <t>No Loss Condensate Drains</t>
  </si>
  <si>
    <t>No-loss Condensate Drains are controlled by a sensor that monitors the level of condensate and only open when there is a need to drain condensate. They close before compressed air is allowed to escape. The baseline for this measure is a standard condensate drains operated by a solenoid and timer.  Energy efficient conditions are systems retrofitted with new No-loss Condensate Drains properly sized for the compressed air system.</t>
  </si>
  <si>
    <t>Line Items</t>
  </si>
  <si>
    <t>Drain Orifice Diameter</t>
  </si>
  <si>
    <t>Air Loss Rate</t>
  </si>
  <si>
    <t>Hours Per Year Drain is Open (Default: 146)</t>
  </si>
  <si>
    <t>Adjustmant Factor</t>
  </si>
  <si>
    <t>Percent Not Condensate (Default: 0.75)</t>
  </si>
  <si>
    <t>Total</t>
  </si>
  <si>
    <t>Air Tanks For Load/No Load Compressors and Modulating Compressors w/Blowdown</t>
  </si>
  <si>
    <t>This measure protocol applies to the installation of air receivers with pressure/flow controls to load/no load compressors or modulating compressors with blowdown. The baseline equipment is a load/no load compressor or a modulating compressor with blowdown with a 1 gal/cfm storage ratio.  The high efficiency equipment is a load/no load compressor or a modulating compressor with blowdown with a minimum storage ratio of 4 gallons of storage per cfm.</t>
  </si>
  <si>
    <t>Rated Compressor Horsepower</t>
  </si>
  <si>
    <t>Gallons of Storage</t>
  </si>
  <si>
    <t>Operating CFM level</t>
  </si>
  <si>
    <t>Conversion Factor (Default: 0.746)</t>
  </si>
  <si>
    <t>Load Factor (Default 0.92)</t>
  </si>
  <si>
    <t>Load Reduction (Default 0.10)</t>
  </si>
  <si>
    <t>Efficiency of Compressor Motor (Default 0.91)</t>
  </si>
  <si>
    <t>Gallon/CFM Ratio</t>
  </si>
  <si>
    <t>Non Conicident kW</t>
  </si>
  <si>
    <t>Version Log</t>
  </si>
  <si>
    <t>Original Author:</t>
  </si>
  <si>
    <t>Ryan Novosedliak</t>
  </si>
  <si>
    <t>QA/QC Engineer(s):</t>
  </si>
  <si>
    <t>Primary Developer:</t>
  </si>
  <si>
    <t>Senior Engineer Approval:</t>
  </si>
  <si>
    <t>Version</t>
  </si>
  <si>
    <t>Reason for Change</t>
  </si>
  <si>
    <t>Change Description</t>
  </si>
  <si>
    <t>Contact, Department</t>
  </si>
  <si>
    <t>Creation of Calculator</t>
  </si>
  <si>
    <t>Creation of Measure Tabs, General Description Tabs, And Lookup Tables</t>
  </si>
  <si>
    <t>Ryan Novosedliak, Engineering</t>
  </si>
  <si>
    <t>Formulas</t>
  </si>
  <si>
    <t>Creation of Formulas for measure calculation</t>
  </si>
  <si>
    <t>Formatting</t>
  </si>
  <si>
    <t>Formatting of calculator, Populating the Methodolgy and Instruction Page</t>
  </si>
  <si>
    <t>1.4.27.16</t>
  </si>
  <si>
    <t>Finalizing</t>
  </si>
  <si>
    <t>Final formatting and labeling. Calculator finished intial creation</t>
  </si>
  <si>
    <t>2.16.7.11</t>
  </si>
  <si>
    <t>PH3 Change</t>
  </si>
  <si>
    <t>Updating formatting to comply with phase 3 (Cycling Dryers)</t>
  </si>
  <si>
    <t>2.16.7.15</t>
  </si>
  <si>
    <t>Updated formatting to comply with phase 3 (tanks, nozzles, drains)</t>
  </si>
  <si>
    <t>2.16.7.18</t>
  </si>
  <si>
    <t>Updated Instructions tab and added project summary tab</t>
  </si>
  <si>
    <t>Finalization for PH3</t>
  </si>
  <si>
    <t>calculator Finalized for final use in phase 3</t>
  </si>
  <si>
    <t>3.17.4.26</t>
  </si>
  <si>
    <t>Add Comp Air</t>
  </si>
  <si>
    <t>Add table for compressor replacement (2010 OH TRM)</t>
  </si>
  <si>
    <t>3.17.4.27</t>
  </si>
  <si>
    <t>Final for Test</t>
  </si>
  <si>
    <t>Finalized for testing for approval</t>
  </si>
  <si>
    <t>3.17.5.16</t>
  </si>
  <si>
    <t>ADM Revisions</t>
  </si>
  <si>
    <t>Added 150 HP limit to dryers. Added 4 gal/cfm ratio</t>
  </si>
  <si>
    <t>Submission</t>
  </si>
  <si>
    <t>Submission to FE for program use</t>
  </si>
  <si>
    <t>Calculator Update</t>
  </si>
  <si>
    <t>Calculator updated based on ADM findings</t>
  </si>
  <si>
    <t>CF for single shify updated to .24</t>
  </si>
  <si>
    <t>Formatting Update</t>
  </si>
  <si>
    <t>Removed VFD Compressor as it refrences Phase 4 TRM. Updated for CR Use</t>
  </si>
  <si>
    <t>Revise all calculations to Phase 4 TRM, rebranded any references to CSP, phone number, email, and TRM versions</t>
  </si>
  <si>
    <t>Cliff Zimmerman, Franklin Engineering</t>
  </si>
  <si>
    <t>Revised to include a peak kW with custom hours and custom CF calculation (defaults to TRM if not completed).</t>
  </si>
  <si>
    <t>Ashley Faircloth, Franklin Engineering</t>
  </si>
  <si>
    <t>Updated language for instructions on air compressor, removed "total number of compressors" and edited Compressor horsepower to total horsepower on Cycling dryer. Removed number of compressors column on Air Nozzle, Updated to reflect overridable inputs on air nozzle, added eligibility clarification to air nozzle, removed number of compressors from condensate drain, allow user override on condensate drains, removed number of compressors from air tanks, added note for minimum requirements and that inlet modulation with blowdown is eligible to air tanks.</t>
  </si>
  <si>
    <t>Sara Aaserud, Franklin Energy</t>
  </si>
  <si>
    <t>Baseline Nozzle Mass Flow</t>
  </si>
  <si>
    <t>Average Compressor kW/CFM</t>
  </si>
  <si>
    <t>Average Air Loss Rates</t>
  </si>
  <si>
    <t>AF</t>
  </si>
  <si>
    <t>Air Mass Flow</t>
  </si>
  <si>
    <t>Pressure (psig)</t>
  </si>
  <si>
    <t>Orifice Diameter (inches)</t>
  </si>
  <si>
    <t>1/8"</t>
  </si>
  <si>
    <t>Modulating w/ Blowdown</t>
  </si>
  <si>
    <t>2-Shift (16/5)</t>
  </si>
  <si>
    <t>1/4"</t>
  </si>
  <si>
    <t>Load/No Load w/ 1 gal/CFM Storage</t>
  </si>
  <si>
    <t>3-Shift (24/5)</t>
  </si>
  <si>
    <t>Load/No Load w/ 3 gal/CFM Storage</t>
  </si>
  <si>
    <t>4-Shift (24/7)</t>
  </si>
  <si>
    <t>Air Entraining Nozzle Mass Flow</t>
  </si>
  <si>
    <t>Load/No Load w/ 5 gal/CFM Storage</t>
  </si>
  <si>
    <t>Variable Speed w/ Unloading</t>
  </si>
  <si>
    <t>Compressor Hours</t>
  </si>
  <si>
    <t>Unknown</t>
  </si>
  <si>
    <t>Hours</t>
  </si>
  <si>
    <t>Control Energy Savings Factor</t>
  </si>
  <si>
    <t>Control</t>
  </si>
  <si>
    <t>ESF</t>
  </si>
  <si>
    <t>Load/No Load</t>
  </si>
  <si>
    <t>Variable Displacement</t>
  </si>
  <si>
    <t>Variable Frequency Drive</t>
  </si>
  <si>
    <t>VLOOKUP1</t>
  </si>
  <si>
    <t>Compressor CF</t>
  </si>
  <si>
    <t>VLOOKUP2</t>
  </si>
  <si>
    <t>%</t>
  </si>
  <si>
    <t>VLOOKUP3</t>
  </si>
  <si>
    <t>VLOOKUP4</t>
  </si>
  <si>
    <t>VLOOKUP5</t>
  </si>
  <si>
    <t>VLOOKUP6</t>
  </si>
  <si>
    <t>VLOOKUP7</t>
  </si>
  <si>
    <t>VLOOKUP8</t>
  </si>
  <si>
    <t>VLOOKUP9</t>
  </si>
  <si>
    <t>VLOOKUP0</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</si>
  <si>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</si>
  <si>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</si>
  <si>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</si>
  <si>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</si>
  <si>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</si>
  <si>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</si>
  <si>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</si>
  <si>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</si>
  <si>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</si>
  <si>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</si>
  <si>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</si>
  <si>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</si>
  <si>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</si>
  <si>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</si>
  <si>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</si>
  <si>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</si>
  <si>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</si>
  <si>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</si>
  <si>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</si>
  <si>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</si>
  <si>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</si>
  <si>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</si>
  <si>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</si>
  <si>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</si>
  <si>
    <t xml:space="preserve">This is not a major issue but the delta CLF set to be defult value , in some cases this value can be obtained from data sheet or namplate for baseline and as built. ADM will likely use site-specific data collection, which may cause some differences between reported and evaluated impacts. </t>
  </si>
  <si>
    <t>Add option of unknown to compressor control type which returns 0.27 as a kW/CFM from TRM table 3-187</t>
  </si>
  <si>
    <t xml:space="preserve">This is not a significant issue but most of the parameters are set to be defult value however some of them can be obtain from data sheet or nameplate and it is better to use actual value (EDC data gathering) rather than defult values. ADM will likely use site-specific data collection, which may cause some differences between reported and evaluated impacts. </t>
  </si>
  <si>
    <t>Variable-Speed Drive (VSD) Air Compressors use a variable speed drive on the motor to match motor output to the load, resulting in greater efficiency than fixed-speed air compressors. Baseline compressors choke off inlet air to modulate the compressor output, resulting in increased energy consumption and peak demand.  To qualify for this measure, a participating commercial or industrial establishment must install or retrofit a ≤ 200 HP compressor with variable speed control. Projects involving compressors larger than 200 HP should be treated as custom projects.</t>
  </si>
  <si>
    <t>Modulation with Blowdown</t>
  </si>
  <si>
    <t>Load/No-Load w/ 1 Gallon/CFM</t>
  </si>
  <si>
    <t>Load/No-Load w/ 3 Gallon/CFM</t>
  </si>
  <si>
    <t>Load/No-Load w/ 5 Gallon/CFM</t>
  </si>
  <si>
    <t>Baseline Compressor</t>
  </si>
  <si>
    <t>&lt;=40HP</t>
  </si>
  <si>
    <t>50-200HP</t>
  </si>
  <si>
    <t>VSD Air Compressor</t>
  </si>
  <si>
    <t>CLF_b</t>
  </si>
  <si>
    <t>CLF_e</t>
  </si>
  <si>
    <t>Incentive</t>
  </si>
  <si>
    <t>This measure is for a new compressor installation or replacement of existing compressor in a single compressor system only. The full load brake horspower cannot exceed 200 HP and must match the BHP of the replacement machine. The existing machine must have modulation controls.</t>
  </si>
  <si>
    <t>Default</t>
  </si>
  <si>
    <t xml:space="preserve">Selection </t>
  </si>
  <si>
    <t>Penelec - LCI</t>
  </si>
  <si>
    <t>Utility - Customer Type</t>
  </si>
  <si>
    <t xml:space="preserve"> Customer Name   </t>
  </si>
  <si>
    <t xml:space="preserve"> Building Name   </t>
  </si>
  <si>
    <t xml:space="preserve"> Building Address   </t>
  </si>
  <si>
    <t xml:space="preserve"> Project ID   </t>
  </si>
  <si>
    <t xml:space="preserve"> External ID   </t>
  </si>
  <si>
    <t xml:space="preserve">Equipment cost </t>
  </si>
  <si>
    <t>5.1.2</t>
  </si>
  <si>
    <t xml:space="preserve">Incentive Update </t>
  </si>
  <si>
    <t xml:space="preserve">Updated incentive calculation on summary tab in alignment with 07/15/25 FEPA incentive rate changes. Added customer information fields and equipment cost fields. </t>
  </si>
  <si>
    <t xml:space="preserve">Jacob Steele, FEPA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</si>
</sst>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numFmt numFmtId="166" formatCode="&quot;$&quot;#,##0.00"/>
    <numFmt numFmtId="167" formatCode="[$-F400]h:mm:ss\ AM/PM"/>
  </numFmts>
  <fonts count="27"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i/>
      <sz val="11"/>
      <color theme="1"/>
      <name val="Calibri"/>
      <family val="2"/>
      <scheme val="minor"/>
    </font>
    <font>
      <b/>
      <u/>
      <sz val="11"/>
      <color theme="5"/>
      <name val="Calibri"/>
      <family val="2"/>
      <scheme val="minor"/>
    </font>
    <font>
      <u/>
      <sz val="16"/>
      <color theme="8" tint="-0.499984740745262"/>
      <name val="Arial"/>
      <family val="2"/>
    </font>
    <font>
      <u/>
      <sz val="27"/>
      <color theme="8" tint="-0.499984740745262"/>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6"/>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1"/>
      <color theme="0"/>
      <name val="Symbol"/>
      <family val="1"/>
      <charset val="2"/>
    </font>
    <font>
      <sz val="11"/>
      <color rgb="FFFF0000"/>
      <name val="Calibri"/>
      <family val="2"/>
      <scheme val="minor"/>
    </font>
    <font>
      <i/>
      <sz val="11"/>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0"/>
      <color theme="0"/>
      <name val="Calibri"/>
      <family val="2"/>
      <scheme val="minor"/>
    </font>
    <font>
      <b/>
      <sz val="9"/>
      <color indexed="81"/>
      <name val="Tahoma"/>
      <family val="2"/>
    </font>
    <font>
      <sz val="9"/>
      <color indexed="81"/>
      <name val="Tahoma"/>
      <family val="2"/>
    </font>
    <font>
      <b/>
      <i/>
      <sz val="11"/>
      <color theme="0"/>
      <name val="Calibri"/>
      <family val="2"/>
      <scheme val="minor"/>
    </font>
    <font>
      <b/>
      <sz val="11"/>
      <name val="Calibri"/>
      <family val="2"/>
      <scheme val="minor"/>
    </font>
    <font>
      <b/>
      <sz val="10"/>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499984740745262"/>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bottom/>
      <diagonal/>
    </border>
    <border>
      <left style="thin">
        <color indexed="64"/>
      </left>
      <right/>
      <top style="medium">
        <color theme="1" tint="0.499984740745262"/>
      </top>
      <bottom style="thin">
        <color theme="1" tint="0.499984740745262"/>
      </bottom>
      <diagonal/>
    </border>
    <border>
      <left style="medium">
        <color theme="1" tint="0.499984740745262"/>
      </left>
      <right style="thin">
        <color indexed="64"/>
      </right>
      <top style="medium">
        <color theme="1" tint="0.499984740745262"/>
      </top>
      <bottom/>
      <diagonal/>
    </border>
    <border>
      <left style="thin">
        <color indexed="64"/>
      </left>
      <right/>
      <top style="thin">
        <color theme="1" tint="0.499984740745262"/>
      </top>
      <bottom style="thin">
        <color theme="1" tint="0.499984740745262"/>
      </bottom>
      <diagonal/>
    </border>
    <border>
      <left style="medium">
        <color theme="1" tint="0.499984740745262"/>
      </left>
      <right style="thin">
        <color indexed="64"/>
      </right>
      <top/>
      <bottom/>
      <diagonal/>
    </border>
    <border>
      <left style="thin">
        <color indexed="64"/>
      </left>
      <right/>
      <top style="thin">
        <color theme="1" tint="0.499984740745262"/>
      </top>
      <bottom style="medium">
        <color theme="1" tint="0.499984740745262"/>
      </bottom>
      <diagonal/>
    </border>
    <border>
      <left style="medium">
        <color theme="1" tint="0.499984740745262"/>
      </left>
      <right style="thin">
        <color indexed="64"/>
      </right>
      <top/>
      <bottom style="medium">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medium">
        <color theme="1" tint="0.499984740745262"/>
      </right>
      <top style="thin">
        <color theme="1" tint="0.499984740745262"/>
      </top>
      <bottom style="thin">
        <color indexed="64"/>
      </bottom>
      <diagonal/>
    </border>
    <border>
      <left style="medium">
        <color theme="1" tint="0.499984740745262"/>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s>
  <cellStyleXfs count="3">
    <xf numFmtId="0" fontId="0" fillId="0" borderId="0"/>
    <xf numFmtId="0" fontId="3" fillId="0" borderId="0"/>
    <xf numFmtId="9" fontId="8" fillId="0" borderId="0" applyFont="0" applyFill="0" applyBorder="0" applyAlignment="0" applyProtection="0"/>
  </cellStyleXfs>
  <cellXfs count="362">
    <xf numFmtId="0" fontId="0" fillId="0" borderId="0" xfId="0"/>
    <xf numFmtId="0" fontId="0" fillId="2" borderId="0" xfId="0" applyFill="1" applyAlignment="1">
      <alignment vertical="top"/>
    </xf>
    <xf numFmtId="0" fontId="0" fillId="2" borderId="0" xfId="0" applyFill="1"/>
    <xf numFmtId="0" fontId="2" fillId="2" borderId="0" xfId="0" applyFont="1" applyFill="1" applyAlignment="1">
      <alignment horizontal="left" vertical="top"/>
    </xf>
    <xf numFmtId="0" fontId="0" fillId="2" borderId="1" xfId="0" applyFill="1" applyBorder="1" applyAlignment="1">
      <alignment vertical="top"/>
    </xf>
    <xf numFmtId="0" fontId="2" fillId="2" borderId="0" xfId="0" applyFont="1" applyFill="1" applyAlignment="1">
      <alignment horizontal="left" vertical="top" indent="18"/>
    </xf>
    <xf numFmtId="0" fontId="0" fillId="2" borderId="2" xfId="0" applyFill="1" applyBorder="1" applyAlignment="1">
      <alignment vertical="top"/>
    </xf>
    <xf numFmtId="0" fontId="2" fillId="2" borderId="0" xfId="0" applyFont="1" applyFill="1" applyAlignment="1">
      <alignment horizontal="left" vertical="top" wrapText="1" indent="18"/>
    </xf>
    <xf numFmtId="0" fontId="0" fillId="2" borderId="0" xfId="0" applyFill="1" applyAlignment="1">
      <alignment vertical="top" wrapText="1"/>
    </xf>
    <xf numFmtId="0" fontId="2" fillId="2" borderId="0" xfId="0" applyFont="1" applyFill="1" applyAlignment="1">
      <alignmen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xf numFmtId="164" fontId="0" fillId="2" borderId="6" xfId="0" applyNumberFormat="1" applyFill="1" applyBorder="1" applyAlignment="1">
      <alignment horizontal="center" vertical="center"/>
    </xf>
    <xf numFmtId="14" fontId="0" fillId="2" borderId="7" xfId="0" applyNumberFormat="1" applyFill="1" applyBorder="1" applyAlignment="1">
      <alignment horizontal="left" vertical="center" indent="1"/>
    </xf>
    <xf numFmtId="0" fontId="0" fillId="2" borderId="7" xfId="0" applyFill="1" applyBorder="1" applyAlignment="1">
      <alignment horizontal="left" vertical="center" wrapText="1" indent="1"/>
    </xf>
    <xf numFmtId="0" fontId="0" fillId="2" borderId="8" xfId="0" applyFill="1" applyBorder="1" applyAlignment="1">
      <alignment horizontal="left" vertical="center" indent="1"/>
    </xf>
    <xf numFmtId="0" fontId="0" fillId="2" borderId="7" xfId="0" applyFill="1" applyBorder="1" applyAlignment="1">
      <alignment horizontal="left" vertical="center" indent="1"/>
    </xf>
    <xf numFmtId="164" fontId="0" fillId="2" borderId="9" xfId="0" applyNumberFormat="1" applyFill="1" applyBorder="1" applyAlignment="1">
      <alignment horizontal="left" vertical="center"/>
    </xf>
    <xf numFmtId="0" fontId="0" fillId="2" borderId="10" xfId="0" applyFill="1" applyBorder="1" applyAlignment="1">
      <alignment horizontal="left" vertical="center" indent="1"/>
    </xf>
    <xf numFmtId="0" fontId="0" fillId="2" borderId="10" xfId="0" applyFill="1" applyBorder="1" applyAlignment="1">
      <alignment horizontal="left" vertical="center" wrapText="1" indent="1"/>
    </xf>
    <xf numFmtId="0" fontId="0" fillId="2" borderId="11" xfId="0" applyFill="1" applyBorder="1" applyAlignment="1">
      <alignment horizontal="left" vertical="center" indent="1"/>
    </xf>
    <xf numFmtId="0" fontId="4" fillId="2" borderId="0" xfId="0" applyFont="1" applyFill="1" applyAlignment="1">
      <alignment vertical="center"/>
    </xf>
    <xf numFmtId="0" fontId="5" fillId="2" borderId="0" xfId="0" applyFont="1" applyFill="1"/>
    <xf numFmtId="0" fontId="7" fillId="2" borderId="0" xfId="0" applyFont="1" applyFill="1"/>
    <xf numFmtId="0" fontId="0" fillId="0" borderId="1" xfId="0" applyBorder="1"/>
    <xf numFmtId="0" fontId="0" fillId="0" borderId="2" xfId="0" applyBorder="1"/>
    <xf numFmtId="0" fontId="0" fillId="6" borderId="1" xfId="0" applyFill="1" applyBorder="1"/>
    <xf numFmtId="0" fontId="0" fillId="6" borderId="2" xfId="0" applyFill="1" applyBorder="1"/>
    <xf numFmtId="0" fontId="1" fillId="5" borderId="3" xfId="0" applyFont="1" applyFill="1" applyBorder="1"/>
    <xf numFmtId="0" fontId="1" fillId="5" borderId="6" xfId="0" applyFont="1" applyFill="1" applyBorder="1"/>
    <xf numFmtId="13" fontId="1" fillId="5" borderId="1" xfId="0" applyNumberFormat="1" applyFont="1" applyFill="1" applyBorder="1"/>
    <xf numFmtId="0" fontId="0" fillId="8" borderId="0" xfId="0" applyFill="1"/>
    <xf numFmtId="0" fontId="12" fillId="13" borderId="14" xfId="0" applyFont="1" applyFill="1" applyBorder="1"/>
    <xf numFmtId="164" fontId="12" fillId="13" borderId="15" xfId="0" applyNumberFormat="1" applyFont="1" applyFill="1" applyBorder="1"/>
    <xf numFmtId="0" fontId="0" fillId="14" borderId="0" xfId="0" applyFill="1"/>
    <xf numFmtId="0" fontId="0" fillId="14" borderId="0" xfId="0" applyFill="1" applyAlignment="1">
      <alignment vertical="top"/>
    </xf>
    <xf numFmtId="3" fontId="0" fillId="0" borderId="7" xfId="0" applyNumberFormat="1" applyBorder="1"/>
    <xf numFmtId="4" fontId="0" fillId="0" borderId="7" xfId="0" applyNumberFormat="1" applyBorder="1"/>
    <xf numFmtId="0" fontId="14" fillId="13" borderId="14" xfId="0" applyFont="1" applyFill="1" applyBorder="1"/>
    <xf numFmtId="3" fontId="0" fillId="0" borderId="19" xfId="0" applyNumberFormat="1" applyBorder="1"/>
    <xf numFmtId="4" fontId="0" fillId="0" borderId="19" xfId="0" applyNumberFormat="1" applyBorder="1"/>
    <xf numFmtId="0" fontId="1" fillId="13" borderId="0" xfId="0" applyFont="1" applyFill="1" applyAlignment="1">
      <alignment vertical="top"/>
    </xf>
    <xf numFmtId="0" fontId="0" fillId="0" borderId="7" xfId="0" applyBorder="1" applyProtection="1">
      <protection locked="0"/>
    </xf>
    <xf numFmtId="0" fontId="0" fillId="0" borderId="19" xfId="0" applyBorder="1" applyProtection="1">
      <protection locked="0"/>
    </xf>
    <xf numFmtId="0" fontId="0" fillId="0" borderId="17" xfId="0" applyBorder="1" applyProtection="1">
      <protection locked="0"/>
    </xf>
    <xf numFmtId="3" fontId="0" fillId="0" borderId="16" xfId="0" applyNumberFormat="1" applyBorder="1" applyProtection="1">
      <protection locked="0"/>
    </xf>
    <xf numFmtId="0" fontId="0" fillId="0" borderId="20" xfId="0" applyBorder="1" applyProtection="1">
      <protection locked="0"/>
    </xf>
    <xf numFmtId="3" fontId="0" fillId="0" borderId="18" xfId="0" applyNumberFormat="1" applyBorder="1" applyProtection="1">
      <protection locked="0"/>
    </xf>
    <xf numFmtId="165" fontId="0" fillId="0" borderId="16" xfId="0" applyNumberFormat="1" applyBorder="1" applyProtection="1">
      <protection locked="0"/>
    </xf>
    <xf numFmtId="165" fontId="0" fillId="0" borderId="18" xfId="0" applyNumberFormat="1" applyBorder="1" applyProtection="1">
      <protection locked="0"/>
    </xf>
    <xf numFmtId="0" fontId="0" fillId="0" borderId="16" xfId="0" applyBorder="1" applyProtection="1">
      <protection locked="0"/>
    </xf>
    <xf numFmtId="0" fontId="0" fillId="0" borderId="18" xfId="0" applyBorder="1" applyProtection="1">
      <protection locked="0"/>
    </xf>
    <xf numFmtId="14" fontId="0" fillId="2" borderId="10" xfId="0" applyNumberFormat="1" applyFill="1" applyBorder="1" applyAlignment="1">
      <alignment horizontal="left" vertical="center" indent="1"/>
    </xf>
    <xf numFmtId="167" fontId="0" fillId="0" borderId="0" xfId="0" applyNumberFormat="1"/>
    <xf numFmtId="0" fontId="20" fillId="16" borderId="55" xfId="0" applyFont="1" applyFill="1" applyBorder="1" applyAlignment="1">
      <alignment horizontal="center"/>
    </xf>
    <xf numFmtId="0" fontId="20" fillId="16" borderId="56" xfId="0" applyFont="1" applyFill="1" applyBorder="1" applyAlignment="1">
      <alignment horizontal="center"/>
    </xf>
    <xf numFmtId="0" fontId="20" fillId="16" borderId="57" xfId="0" applyFont="1" applyFill="1" applyBorder="1" applyAlignment="1">
      <alignment horizontal="center"/>
    </xf>
    <xf numFmtId="0" fontId="19" fillId="16" borderId="59" xfId="0" applyFont="1" applyFill="1" applyBorder="1" applyAlignment="1">
      <alignment horizontal="center"/>
    </xf>
    <xf numFmtId="0" fontId="19" fillId="16" borderId="60" xfId="0" applyFont="1" applyFill="1" applyBorder="1" applyAlignment="1">
      <alignment horizontal="center"/>
    </xf>
    <xf numFmtId="0" fontId="19" fillId="16" borderId="61" xfId="0" applyFont="1" applyFill="1" applyBorder="1" applyAlignment="1">
      <alignment horizontal="center"/>
    </xf>
    <xf numFmtId="0" fontId="19" fillId="16" borderId="64" xfId="0" applyFont="1" applyFill="1" applyBorder="1" applyAlignment="1">
      <alignment horizontal="center"/>
    </xf>
    <xf numFmtId="0" fontId="19" fillId="16" borderId="65" xfId="0" applyFont="1" applyFill="1" applyBorder="1" applyAlignment="1">
      <alignment horizontal="center"/>
    </xf>
    <xf numFmtId="2" fontId="20" fillId="16" borderId="66" xfId="0" applyNumberFormat="1" applyFont="1" applyFill="1" applyBorder="1"/>
    <xf numFmtId="2" fontId="20" fillId="16" borderId="68" xfId="0" applyNumberFormat="1" applyFont="1" applyFill="1" applyBorder="1"/>
    <xf numFmtId="0" fontId="0" fillId="0" borderId="7" xfId="0" applyBorder="1"/>
    <xf numFmtId="0" fontId="2" fillId="0" borderId="7" xfId="0" applyFont="1" applyBorder="1" applyAlignment="1">
      <alignment horizontal="center"/>
    </xf>
    <xf numFmtId="0" fontId="4" fillId="17" borderId="7" xfId="0" applyFont="1" applyFill="1" applyBorder="1"/>
    <xf numFmtId="0" fontId="0" fillId="16" borderId="69" xfId="0" applyFill="1" applyBorder="1"/>
    <xf numFmtId="0" fontId="0" fillId="16" borderId="0" xfId="0" applyFill="1"/>
    <xf numFmtId="0" fontId="19" fillId="16" borderId="0" xfId="0" applyFont="1" applyFill="1"/>
    <xf numFmtId="0" fontId="0" fillId="16" borderId="12" xfId="0" applyFill="1" applyBorder="1"/>
    <xf numFmtId="0" fontId="19" fillId="16" borderId="12" xfId="0" applyFont="1" applyFill="1" applyBorder="1"/>
    <xf numFmtId="2" fontId="20" fillId="16" borderId="79" xfId="0" applyNumberFormat="1" applyFont="1" applyFill="1" applyBorder="1"/>
    <xf numFmtId="2" fontId="20" fillId="16" borderId="77" xfId="0" applyNumberFormat="1" applyFont="1" applyFill="1" applyBorder="1"/>
    <xf numFmtId="2" fontId="20" fillId="16" borderId="80" xfId="0" applyNumberFormat="1" applyFont="1" applyFill="1" applyBorder="1"/>
    <xf numFmtId="0" fontId="15" fillId="0" borderId="7" xfId="0" applyFont="1" applyBorder="1"/>
    <xf numFmtId="3" fontId="15" fillId="0" borderId="7" xfId="0" applyNumberFormat="1" applyFont="1" applyBorder="1"/>
    <xf numFmtId="2" fontId="15" fillId="0" borderId="7" xfId="0" applyNumberFormat="1" applyFont="1" applyBorder="1"/>
    <xf numFmtId="166" fontId="15" fillId="0" borderId="7" xfId="0" applyNumberFormat="1" applyFont="1" applyBorder="1"/>
    <xf numFmtId="0" fontId="0" fillId="0" borderId="19" xfId="0" applyBorder="1"/>
    <xf numFmtId="166" fontId="15" fillId="0" borderId="19" xfId="0" applyNumberFormat="1" applyFont="1" applyBorder="1"/>
    <xf numFmtId="0" fontId="17" fillId="0" borderId="0" xfId="0" applyFont="1" applyAlignment="1">
      <alignment horizontal="left" vertical="center" indent="4"/>
    </xf>
    <xf numFmtId="0" fontId="17" fillId="0" borderId="0" xfId="0" applyFont="1" applyAlignment="1">
      <alignment horizontal="left" vertical="center" indent="15"/>
    </xf>
    <xf numFmtId="0" fontId="17" fillId="0" borderId="0" xfId="0" applyFont="1" applyAlignment="1">
      <alignment horizontal="left" vertical="center" indent="2"/>
    </xf>
    <xf numFmtId="0" fontId="17" fillId="0" borderId="0" xfId="0" applyFont="1" applyAlignment="1">
      <alignment horizontal="left" vertical="center" indent="8"/>
    </xf>
    <xf numFmtId="0" fontId="17" fillId="0" borderId="0" xfId="0" applyFont="1" applyAlignment="1">
      <alignment vertical="center"/>
    </xf>
    <xf numFmtId="0" fontId="0" fillId="0" borderId="7" xfId="0" applyBorder="1" applyAlignment="1">
      <alignment horizontal="center"/>
    </xf>
    <xf numFmtId="0" fontId="4" fillId="17" borderId="7" xfId="0" applyFont="1" applyFill="1" applyBorder="1" applyAlignment="1">
      <alignment horizontal="center"/>
    </xf>
    <xf numFmtId="0" fontId="19" fillId="16" borderId="63" xfId="0" applyFont="1" applyFill="1" applyBorder="1" applyAlignment="1">
      <alignment horizontal="center"/>
    </xf>
    <xf numFmtId="0" fontId="1" fillId="13" borderId="51" xfId="0" applyFont="1" applyFill="1" applyBorder="1" applyAlignment="1">
      <alignment horizontal="left"/>
    </xf>
    <xf numFmtId="0" fontId="1" fillId="13" borderId="50" xfId="0" applyFont="1" applyFill="1" applyBorder="1" applyAlignment="1">
      <alignment horizontal="left"/>
    </xf>
    <xf numFmtId="0" fontId="1" fillId="13" borderId="89" xfId="0" applyFont="1" applyFill="1" applyBorder="1" applyAlignment="1">
      <alignment horizontal="left"/>
    </xf>
    <xf numFmtId="0" fontId="1" fillId="13" borderId="40" xfId="0" applyFont="1" applyFill="1" applyBorder="1" applyAlignment="1">
      <alignment horizontal="left"/>
    </xf>
    <xf numFmtId="0" fontId="1" fillId="13" borderId="52" xfId="0" applyFont="1" applyFill="1" applyBorder="1" applyAlignment="1">
      <alignment horizontal="left"/>
    </xf>
    <xf numFmtId="0" fontId="24" fillId="19" borderId="7" xfId="0" applyFont="1" applyFill="1" applyBorder="1"/>
    <xf numFmtId="0" fontId="0" fillId="0" borderId="7" xfId="0" applyBorder="1" applyAlignment="1">
      <alignment wrapText="1"/>
    </xf>
    <xf numFmtId="14" fontId="0" fillId="0" borderId="7" xfId="0" applyNumberFormat="1" applyBorder="1" applyAlignment="1">
      <alignment wrapText="1"/>
    </xf>
    <xf numFmtId="0" fontId="0" fillId="15" borderId="0" xfId="0" applyFill="1"/>
    <xf numFmtId="0" fontId="0" fillId="15" borderId="0" xfId="0" applyFill="1" applyAlignment="1">
      <alignment vertical="center"/>
    </xf>
    <xf numFmtId="0" fontId="0" fillId="0" borderId="0" xfId="0" applyAlignment="1">
      <alignment vertical="center"/>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0" fillId="15" borderId="0" xfId="0" applyFill="1" applyAlignment="1">
      <alignment horizontal="center" vertical="center" wrapText="1"/>
    </xf>
    <xf numFmtId="0" fontId="0" fillId="0" borderId="0" xfId="0" applyAlignment="1">
      <alignment horizontal="center" vertical="center" wrapText="1"/>
    </xf>
    <xf numFmtId="0" fontId="0" fillId="4" borderId="16" xfId="0" applyFill="1" applyBorder="1"/>
    <xf numFmtId="0" fontId="0" fillId="3" borderId="7" xfId="0" applyFill="1" applyBorder="1"/>
    <xf numFmtId="0" fontId="0" fillId="4" borderId="7" xfId="0" applyFill="1" applyBorder="1"/>
    <xf numFmtId="1" fontId="0" fillId="4" borderId="7" xfId="0" applyNumberFormat="1" applyFill="1" applyBorder="1"/>
    <xf numFmtId="3" fontId="0" fillId="11" borderId="7" xfId="0" applyNumberFormat="1" applyFill="1" applyBorder="1"/>
    <xf numFmtId="4" fontId="0" fillId="11" borderId="8" xfId="0" applyNumberFormat="1" applyFill="1" applyBorder="1"/>
    <xf numFmtId="2" fontId="0" fillId="11" borderId="17" xfId="0" applyNumberFormat="1" applyFill="1" applyBorder="1"/>
    <xf numFmtId="0" fontId="0" fillId="3" borderId="7" xfId="0" applyFill="1" applyBorder="1" applyProtection="1">
      <protection locked="0"/>
    </xf>
    <xf numFmtId="0" fontId="0" fillId="8" borderId="0" xfId="0" applyFill="1" applyAlignment="1">
      <alignment vertical="center"/>
    </xf>
    <xf numFmtId="0" fontId="10" fillId="8" borderId="0" xfId="0" applyFont="1" applyFill="1" applyAlignment="1">
      <alignment vertical="center"/>
    </xf>
    <xf numFmtId="0" fontId="10" fillId="0" borderId="0" xfId="0" applyFont="1" applyAlignment="1">
      <alignment vertical="center"/>
    </xf>
    <xf numFmtId="0" fontId="1" fillId="9" borderId="1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0" fillId="8" borderId="0" xfId="0" applyFill="1" applyAlignment="1">
      <alignment horizontal="center" vertical="center" wrapText="1"/>
    </xf>
    <xf numFmtId="0" fontId="0" fillId="7" borderId="16" xfId="0" applyFill="1" applyBorder="1"/>
    <xf numFmtId="0" fontId="0" fillId="7" borderId="7" xfId="0" applyFill="1" applyBorder="1"/>
    <xf numFmtId="4" fontId="0" fillId="7" borderId="7" xfId="0" applyNumberFormat="1" applyFill="1" applyBorder="1"/>
    <xf numFmtId="3" fontId="0" fillId="7" borderId="17" xfId="0" applyNumberFormat="1" applyFill="1" applyBorder="1"/>
    <xf numFmtId="0" fontId="0" fillId="7" borderId="18" xfId="0" applyFill="1" applyBorder="1"/>
    <xf numFmtId="0" fontId="0" fillId="3" borderId="19" xfId="0" applyFill="1" applyBorder="1"/>
    <xf numFmtId="0" fontId="0" fillId="7" borderId="19" xfId="0" applyFill="1" applyBorder="1"/>
    <xf numFmtId="0" fontId="0" fillId="7" borderId="4" xfId="0" applyFill="1" applyBorder="1"/>
    <xf numFmtId="4" fontId="0" fillId="10" borderId="4" xfId="0" applyNumberFormat="1" applyFill="1" applyBorder="1"/>
    <xf numFmtId="3" fontId="0" fillId="10" borderId="4" xfId="0" applyNumberFormat="1" applyFill="1" applyBorder="1"/>
    <xf numFmtId="0" fontId="0" fillId="8" borderId="0" xfId="0" applyFill="1" applyAlignment="1">
      <alignment horizontal="left" vertical="center"/>
    </xf>
    <xf numFmtId="0" fontId="0" fillId="0" borderId="0" xfId="0" applyAlignment="1">
      <alignment horizontal="left" vertical="center"/>
    </xf>
    <xf numFmtId="0" fontId="1" fillId="9" borderId="8" xfId="0" applyFont="1" applyFill="1" applyBorder="1" applyAlignment="1">
      <alignment horizontal="center" vertical="center" wrapText="1"/>
    </xf>
    <xf numFmtId="0" fontId="0" fillId="18" borderId="7" xfId="0" applyFill="1" applyBorder="1"/>
    <xf numFmtId="9" fontId="0" fillId="18" borderId="17" xfId="2" applyFont="1" applyFill="1" applyBorder="1" applyProtection="1"/>
    <xf numFmtId="1" fontId="0" fillId="7" borderId="16" xfId="2" applyNumberFormat="1" applyFont="1" applyFill="1" applyBorder="1" applyProtection="1"/>
    <xf numFmtId="2" fontId="0" fillId="7" borderId="7" xfId="2" applyNumberFormat="1" applyFont="1" applyFill="1" applyBorder="1" applyProtection="1"/>
    <xf numFmtId="3" fontId="0" fillId="7" borderId="7" xfId="0" applyNumberFormat="1" applyFill="1" applyBorder="1"/>
    <xf numFmtId="3" fontId="0" fillId="7" borderId="8" xfId="0" applyNumberFormat="1" applyFill="1" applyBorder="1"/>
    <xf numFmtId="4" fontId="0" fillId="7" borderId="17" xfId="0" applyNumberFormat="1" applyFill="1" applyBorder="1"/>
    <xf numFmtId="0" fontId="0" fillId="7" borderId="23" xfId="0" applyFill="1" applyBorder="1"/>
    <xf numFmtId="0" fontId="0" fillId="7" borderId="24" xfId="0" applyFill="1" applyBorder="1"/>
    <xf numFmtId="3" fontId="0" fillId="7" borderId="23" xfId="0" applyNumberFormat="1" applyFill="1" applyBorder="1"/>
    <xf numFmtId="0" fontId="0" fillId="7" borderId="25" xfId="0" applyFill="1" applyBorder="1"/>
    <xf numFmtId="3" fontId="0" fillId="7" borderId="24" xfId="0" applyNumberFormat="1" applyFill="1" applyBorder="1"/>
    <xf numFmtId="4" fontId="0" fillId="7" borderId="25" xfId="0" applyNumberFormat="1" applyFill="1" applyBorder="1"/>
    <xf numFmtId="0" fontId="2" fillId="8" borderId="0" xfId="0" applyFont="1" applyFill="1"/>
    <xf numFmtId="0" fontId="2" fillId="0" borderId="0" xfId="0" applyFont="1"/>
    <xf numFmtId="0" fontId="1" fillId="9" borderId="83"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horizontal="center" vertical="center" wrapText="1"/>
    </xf>
    <xf numFmtId="0" fontId="0" fillId="7" borderId="13" xfId="0" applyFill="1" applyBorder="1"/>
    <xf numFmtId="0" fontId="0" fillId="7" borderId="14" xfId="0" applyFill="1" applyBorder="1"/>
    <xf numFmtId="3" fontId="0" fillId="7" borderId="40" xfId="0" applyNumberFormat="1" applyFill="1" applyBorder="1"/>
    <xf numFmtId="4" fontId="0" fillId="7" borderId="15" xfId="0" applyNumberFormat="1" applyFill="1" applyBorder="1"/>
    <xf numFmtId="0" fontId="0" fillId="18" borderId="19" xfId="0" applyFill="1" applyBorder="1"/>
    <xf numFmtId="0" fontId="0" fillId="11" borderId="24" xfId="0" applyFill="1" applyBorder="1"/>
    <xf numFmtId="3" fontId="0" fillId="11" borderId="24" xfId="0" applyNumberFormat="1" applyFill="1" applyBorder="1"/>
    <xf numFmtId="3" fontId="0" fillId="11" borderId="53" xfId="0" applyNumberFormat="1" applyFill="1" applyBorder="1"/>
    <xf numFmtId="4" fontId="0" fillId="11" borderId="25" xfId="0" applyNumberFormat="1" applyFill="1" applyBorder="1"/>
    <xf numFmtId="0" fontId="0" fillId="7" borderId="7" xfId="0" applyFill="1" applyBorder="1" applyProtection="1">
      <protection locked="0"/>
    </xf>
    <xf numFmtId="0" fontId="0" fillId="7" borderId="19" xfId="0" applyFill="1" applyBorder="1" applyProtection="1">
      <protection locked="0"/>
    </xf>
    <xf numFmtId="2" fontId="0" fillId="3" borderId="7" xfId="0" applyNumberFormat="1" applyFill="1" applyBorder="1"/>
    <xf numFmtId="0" fontId="0" fillId="3" borderId="17" xfId="0" applyFill="1" applyBorder="1"/>
    <xf numFmtId="0" fontId="0" fillId="7" borderId="53" xfId="0" applyFill="1" applyBorder="1"/>
    <xf numFmtId="0" fontId="0" fillId="7" borderId="45" xfId="0" applyFill="1" applyBorder="1"/>
    <xf numFmtId="0" fontId="0" fillId="7" borderId="46" xfId="0" applyFill="1" applyBorder="1"/>
    <xf numFmtId="0" fontId="0" fillId="7" borderId="47" xfId="0" applyFill="1" applyBorder="1"/>
    <xf numFmtId="3" fontId="0" fillId="11" borderId="46" xfId="0" applyNumberFormat="1" applyFill="1" applyBorder="1"/>
    <xf numFmtId="3" fontId="0" fillId="11" borderId="84" xfId="0" applyNumberFormat="1" applyFill="1" applyBorder="1"/>
    <xf numFmtId="4" fontId="0" fillId="11" borderId="47" xfId="0" applyNumberFormat="1" applyFill="1" applyBorder="1"/>
    <xf numFmtId="0" fontId="0" fillId="2" borderId="13" xfId="0" applyFill="1" applyBorder="1"/>
    <xf numFmtId="0" fontId="0" fillId="2" borderId="14" xfId="0" applyFill="1" applyBorder="1"/>
    <xf numFmtId="0" fontId="0" fillId="2" borderId="15" xfId="0" applyFill="1" applyBorder="1"/>
    <xf numFmtId="0" fontId="0" fillId="2" borderId="18" xfId="0" applyFill="1" applyBorder="1"/>
    <xf numFmtId="0" fontId="0" fillId="2" borderId="19" xfId="0" applyFill="1" applyBorder="1"/>
    <xf numFmtId="0" fontId="13" fillId="20" borderId="20" xfId="0" applyFont="1" applyFill="1" applyBorder="1"/>
    <xf numFmtId="0" fontId="1" fillId="13" borderId="0" xfId="0" applyFont="1" applyFill="1"/>
    <xf numFmtId="0" fontId="13" fillId="2" borderId="0" xfId="0" applyFont="1" applyFill="1"/>
    <xf numFmtId="0" fontId="25" fillId="20" borderId="30" xfId="0" applyFont="1" applyFill="1" applyBorder="1" applyAlignment="1">
      <alignment horizontal="right" vertical="center"/>
    </xf>
    <xf numFmtId="0" fontId="25" fillId="20" borderId="90" xfId="0" applyFont="1" applyFill="1" applyBorder="1" applyAlignment="1">
      <alignment horizontal="right" vertical="center"/>
    </xf>
    <xf numFmtId="0" fontId="0" fillId="0" borderId="8" xfId="0" applyBorder="1" applyAlignment="1">
      <alignment horizontal="center"/>
    </xf>
    <xf numFmtId="0" fontId="0" fillId="0" borderId="2" xfId="0" applyBorder="1" applyAlignment="1">
      <alignment horizontal="center"/>
    </xf>
    <xf numFmtId="0" fontId="0" fillId="0" borderId="49" xfId="0" applyBorder="1" applyAlignment="1">
      <alignment horizontal="center"/>
    </xf>
    <xf numFmtId="0" fontId="13" fillId="0" borderId="48"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0" fontId="13" fillId="0" borderId="0" xfId="0" applyFont="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6" xfId="0" applyBorder="1" applyAlignment="1">
      <alignment horizontal="left" vertical="top" wrapText="1"/>
    </xf>
    <xf numFmtId="0" fontId="0" fillId="0" borderId="1" xfId="0" applyBorder="1" applyAlignment="1">
      <alignment horizontal="left" vertical="top" wrapText="1"/>
    </xf>
    <xf numFmtId="0" fontId="0" fillId="0" borderId="37" xfId="0" applyBorder="1" applyAlignment="1">
      <alignment horizontal="left" vertical="top" wrapText="1"/>
    </xf>
    <xf numFmtId="0" fontId="1" fillId="13" borderId="38" xfId="0" applyFont="1" applyFill="1" applyBorder="1" applyAlignment="1">
      <alignment horizontal="left" vertical="top"/>
    </xf>
    <xf numFmtId="0" fontId="1" fillId="13" borderId="35" xfId="0" applyFont="1" applyFill="1" applyBorder="1" applyAlignment="1">
      <alignment horizontal="left" vertical="top"/>
    </xf>
    <xf numFmtId="0" fontId="1" fillId="13" borderId="39" xfId="0" applyFont="1" applyFill="1" applyBorder="1" applyAlignment="1">
      <alignment horizontal="left" vertical="top"/>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1" fillId="13" borderId="14" xfId="0"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19" xfId="0" applyFont="1" applyFill="1" applyBorder="1" applyAlignment="1">
      <alignment horizontal="center" vertical="center"/>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 fillId="13" borderId="27" xfId="0" applyFont="1" applyFill="1" applyBorder="1" applyAlignment="1">
      <alignment horizontal="left" vertical="top"/>
    </xf>
    <xf numFmtId="0" fontId="1" fillId="13" borderId="28" xfId="0" applyFont="1" applyFill="1" applyBorder="1" applyAlignment="1">
      <alignment horizontal="left" vertical="top"/>
    </xf>
    <xf numFmtId="0" fontId="1" fillId="13" borderId="29" xfId="0" applyFont="1" applyFill="1" applyBorder="1" applyAlignment="1">
      <alignment horizontal="left" vertical="top"/>
    </xf>
    <xf numFmtId="0" fontId="1" fillId="13" borderId="3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3" fillId="0" borderId="85" xfId="0" applyFont="1" applyBorder="1" applyAlignment="1">
      <alignment horizontal="center"/>
    </xf>
    <xf numFmtId="0" fontId="13" fillId="0" borderId="86" xfId="0" applyFont="1" applyBorder="1" applyAlignment="1">
      <alignment horizontal="center"/>
    </xf>
    <xf numFmtId="0" fontId="13" fillId="0" borderId="87" xfId="0" applyFont="1" applyBorder="1" applyAlignment="1">
      <alignment horizontal="center"/>
    </xf>
    <xf numFmtId="0" fontId="0" fillId="0" borderId="41"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11" borderId="16" xfId="0" applyFill="1" applyBorder="1" applyAlignment="1">
      <alignment horizontal="left"/>
    </xf>
    <xf numFmtId="0" fontId="0" fillId="11" borderId="7" xfId="0" applyFill="1" applyBorder="1" applyAlignment="1">
      <alignment horizontal="left"/>
    </xf>
    <xf numFmtId="0" fontId="0" fillId="0" borderId="7" xfId="0" applyBorder="1" applyAlignment="1">
      <alignment horizontal="left"/>
    </xf>
    <xf numFmtId="0" fontId="0" fillId="0" borderId="17" xfId="0" applyBorder="1" applyAlignment="1">
      <alignment horizontal="left"/>
    </xf>
    <xf numFmtId="0" fontId="0" fillId="3" borderId="16" xfId="0" applyFill="1" applyBorder="1" applyAlignment="1">
      <alignment horizontal="left"/>
    </xf>
    <xf numFmtId="0" fontId="0" fillId="3" borderId="7" xfId="0" applyFill="1" applyBorder="1" applyAlignment="1">
      <alignment horizontal="left"/>
    </xf>
    <xf numFmtId="0" fontId="12" fillId="12" borderId="16" xfId="0" applyFont="1" applyFill="1" applyBorder="1" applyAlignment="1">
      <alignment horizontal="left"/>
    </xf>
    <xf numFmtId="0" fontId="12" fillId="12" borderId="7" xfId="0" applyFont="1" applyFill="1" applyBorder="1" applyAlignment="1">
      <alignment horizontal="left"/>
    </xf>
    <xf numFmtId="0" fontId="0" fillId="7" borderId="16" xfId="0" applyFill="1" applyBorder="1" applyAlignment="1">
      <alignment horizontal="left"/>
    </xf>
    <xf numFmtId="0" fontId="0" fillId="7" borderId="7" xfId="0" applyFill="1" applyBorder="1" applyAlignment="1">
      <alignment horizontal="left"/>
    </xf>
    <xf numFmtId="0" fontId="12" fillId="13" borderId="16" xfId="0" applyFont="1" applyFill="1" applyBorder="1" applyAlignment="1">
      <alignment horizontal="left"/>
    </xf>
    <xf numFmtId="0" fontId="12" fillId="13" borderId="7" xfId="0" applyFont="1" applyFill="1" applyBorder="1" applyAlignment="1">
      <alignment horizontal="left"/>
    </xf>
    <xf numFmtId="0" fontId="0" fillId="18" borderId="16" xfId="0" applyFill="1" applyBorder="1" applyAlignment="1">
      <alignment horizontal="left"/>
    </xf>
    <xf numFmtId="0" fontId="0" fillId="18" borderId="7" xfId="0" applyFill="1" applyBorder="1" applyAlignment="1">
      <alignment horizontal="left"/>
    </xf>
    <xf numFmtId="0" fontId="26" fillId="0" borderId="91" xfId="0" applyFont="1" applyBorder="1" applyAlignment="1" applyProtection="1">
      <alignment horizontal="left" vertical="center"/>
      <protection locked="0"/>
    </xf>
    <xf numFmtId="0" fontId="26" fillId="0" borderId="92" xfId="0" applyFont="1" applyBorder="1" applyAlignment="1" applyProtection="1">
      <alignment horizontal="left" vertical="center"/>
      <protection locked="0"/>
    </xf>
    <xf numFmtId="0" fontId="26" fillId="0" borderId="93" xfId="0" applyFont="1" applyBorder="1" applyAlignment="1" applyProtection="1">
      <alignment horizontal="left" vertical="center"/>
      <protection locked="0"/>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11" fillId="13" borderId="29" xfId="0" applyFont="1" applyFill="1" applyBorder="1" applyAlignment="1">
      <alignment horizontal="center" vertical="center"/>
    </xf>
    <xf numFmtId="0" fontId="11" fillId="13" borderId="30" xfId="0" applyFont="1" applyFill="1" applyBorder="1" applyAlignment="1">
      <alignment horizontal="center" vertical="center"/>
    </xf>
    <xf numFmtId="0" fontId="11" fillId="13" borderId="0" xfId="0" applyFont="1" applyFill="1" applyAlignment="1">
      <alignment horizontal="center" vertical="center"/>
    </xf>
    <xf numFmtId="0" fontId="11" fillId="13" borderId="31" xfId="0" applyFont="1" applyFill="1" applyBorder="1" applyAlignment="1">
      <alignment horizontal="center" vertical="center"/>
    </xf>
    <xf numFmtId="0" fontId="11" fillId="13" borderId="32"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34" xfId="0" applyFont="1" applyFill="1" applyBorder="1" applyAlignment="1">
      <alignment horizontal="center" vertical="center"/>
    </xf>
    <xf numFmtId="0" fontId="1" fillId="13" borderId="13" xfId="0" applyFont="1" applyFill="1" applyBorder="1" applyAlignment="1">
      <alignment horizontal="left"/>
    </xf>
    <xf numFmtId="0" fontId="1" fillId="13" borderId="14" xfId="0" applyFont="1" applyFill="1" applyBorder="1" applyAlignment="1">
      <alignment horizontal="left"/>
    </xf>
    <xf numFmtId="0" fontId="1" fillId="13" borderId="18" xfId="0" applyFont="1" applyFill="1" applyBorder="1" applyAlignment="1">
      <alignment horizontal="left"/>
    </xf>
    <xf numFmtId="0" fontId="1" fillId="13" borderId="19" xfId="0" applyFont="1" applyFill="1" applyBorder="1" applyAlignment="1">
      <alignment horizontal="left"/>
    </xf>
    <xf numFmtId="3" fontId="0" fillId="0" borderId="14" xfId="0" applyNumberFormat="1" applyBorder="1" applyAlignment="1">
      <alignment horizontal="center"/>
    </xf>
    <xf numFmtId="3" fontId="0" fillId="0" borderId="15" xfId="0" applyNumberFormat="1" applyBorder="1" applyAlignment="1">
      <alignment horizontal="center"/>
    </xf>
    <xf numFmtId="4" fontId="0" fillId="0" borderId="19" xfId="0" applyNumberFormat="1" applyBorder="1" applyAlignment="1">
      <alignment horizontal="center"/>
    </xf>
    <xf numFmtId="4" fontId="0" fillId="0" borderId="20" xfId="0" applyNumberFormat="1" applyBorder="1" applyAlignment="1">
      <alignment horizontal="center"/>
    </xf>
    <xf numFmtId="0" fontId="4" fillId="17" borderId="7" xfId="0" applyFont="1" applyFill="1" applyBorder="1" applyAlignment="1">
      <alignment horizontal="center"/>
    </xf>
    <xf numFmtId="0" fontId="0" fillId="0" borderId="7" xfId="0" applyBorder="1" applyAlignment="1" applyProtection="1">
      <alignment horizontal="center"/>
      <protection locked="0"/>
    </xf>
    <xf numFmtId="0" fontId="11" fillId="13" borderId="11"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9" xfId="0" applyFont="1" applyFill="1" applyBorder="1" applyAlignment="1">
      <alignment horizontal="center" vertical="center"/>
    </xf>
    <xf numFmtId="0" fontId="11" fillId="13" borderId="12"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1" xfId="0" applyFont="1" applyFill="1" applyBorder="1" applyAlignment="1">
      <alignment horizontal="center" vertical="center"/>
    </xf>
    <xf numFmtId="0" fontId="11" fillId="13" borderId="3" xfId="0" applyFont="1" applyFill="1" applyBorder="1" applyAlignment="1">
      <alignment horizontal="center" vertical="center"/>
    </xf>
    <xf numFmtId="0" fontId="21" fillId="13" borderId="11" xfId="0" applyFont="1" applyFill="1" applyBorder="1" applyAlignment="1">
      <alignment horizontal="center" vertical="center" wrapText="1"/>
    </xf>
    <xf numFmtId="0" fontId="21" fillId="13" borderId="35"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69"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2"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19" fillId="16" borderId="72" xfId="0" applyFont="1" applyFill="1" applyBorder="1" applyAlignment="1">
      <alignment horizontal="center"/>
    </xf>
    <xf numFmtId="0" fontId="19" fillId="16" borderId="62" xfId="0" applyFont="1" applyFill="1" applyBorder="1" applyAlignment="1">
      <alignment horizontal="center"/>
    </xf>
    <xf numFmtId="0" fontId="19" fillId="16" borderId="63" xfId="0" applyFont="1" applyFill="1" applyBorder="1" applyAlignment="1">
      <alignment horizontal="center"/>
    </xf>
    <xf numFmtId="0" fontId="0" fillId="0" borderId="16"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 fontId="19" fillId="16" borderId="70" xfId="0" applyNumberFormat="1" applyFont="1" applyFill="1" applyBorder="1" applyAlignment="1">
      <alignment horizontal="center"/>
    </xf>
    <xf numFmtId="1" fontId="19" fillId="16" borderId="58" xfId="0" applyNumberFormat="1" applyFont="1" applyFill="1" applyBorder="1" applyAlignment="1">
      <alignment horizontal="center"/>
    </xf>
    <xf numFmtId="1" fontId="19" fillId="16" borderId="59" xfId="0" applyNumberFormat="1" applyFont="1" applyFill="1" applyBorder="1" applyAlignment="1">
      <alignment horizontal="center"/>
    </xf>
    <xf numFmtId="1" fontId="19" fillId="16" borderId="72" xfId="0" applyNumberFormat="1" applyFont="1" applyFill="1" applyBorder="1" applyAlignment="1">
      <alignment horizontal="center"/>
    </xf>
    <xf numFmtId="1" fontId="19" fillId="16" borderId="62" xfId="0" applyNumberFormat="1" applyFont="1" applyFill="1" applyBorder="1" applyAlignment="1">
      <alignment horizontal="center"/>
    </xf>
    <xf numFmtId="1" fontId="19" fillId="16" borderId="63" xfId="0" applyNumberFormat="1" applyFont="1" applyFill="1" applyBorder="1" applyAlignment="1">
      <alignment horizontal="center"/>
    </xf>
    <xf numFmtId="0" fontId="0" fillId="0" borderId="0" xfId="0" applyAlignment="1">
      <alignment horizontal="center"/>
    </xf>
    <xf numFmtId="0" fontId="18" fillId="16" borderId="11" xfId="0" applyFont="1" applyFill="1" applyBorder="1" applyAlignment="1">
      <alignment horizontal="center"/>
    </xf>
    <xf numFmtId="0" fontId="18" fillId="16" borderId="35" xfId="0" applyFont="1" applyFill="1" applyBorder="1" applyAlignment="1">
      <alignment horizontal="center"/>
    </xf>
    <xf numFmtId="0" fontId="18" fillId="16" borderId="9" xfId="0" applyFont="1" applyFill="1" applyBorder="1" applyAlignment="1">
      <alignment horizontal="center"/>
    </xf>
    <xf numFmtId="0" fontId="14" fillId="13" borderId="13" xfId="0" applyFont="1" applyFill="1" applyBorder="1" applyAlignment="1">
      <alignment horizontal="left"/>
    </xf>
    <xf numFmtId="0" fontId="14" fillId="13" borderId="14" xfId="0" applyFont="1" applyFill="1" applyBorder="1" applyAlignment="1">
      <alignment horizontal="left"/>
    </xf>
    <xf numFmtId="0" fontId="15" fillId="0" borderId="16" xfId="0" applyFont="1" applyBorder="1" applyAlignment="1">
      <alignment horizontal="left"/>
    </xf>
    <xf numFmtId="0" fontId="15" fillId="0" borderId="7" xfId="0" applyFont="1" applyBorder="1" applyAlignment="1">
      <alignment horizontal="left"/>
    </xf>
    <xf numFmtId="0" fontId="20" fillId="16" borderId="76" xfId="0" applyFont="1" applyFill="1" applyBorder="1" applyAlignment="1">
      <alignment horizontal="center"/>
    </xf>
    <xf numFmtId="0" fontId="20" fillId="16" borderId="77" xfId="0" applyFont="1" applyFill="1" applyBorder="1" applyAlignment="1">
      <alignment horizontal="center"/>
    </xf>
    <xf numFmtId="0" fontId="20" fillId="16" borderId="78" xfId="0" applyFont="1" applyFill="1" applyBorder="1" applyAlignment="1">
      <alignment horizontal="center"/>
    </xf>
    <xf numFmtId="0" fontId="19" fillId="16" borderId="71" xfId="0" applyFont="1" applyFill="1" applyBorder="1" applyAlignment="1">
      <alignment horizontal="center" vertical="center" textRotation="90"/>
    </xf>
    <xf numFmtId="0" fontId="19" fillId="16" borderId="73" xfId="0" applyFont="1" applyFill="1" applyBorder="1" applyAlignment="1">
      <alignment horizontal="center" vertical="center" textRotation="90"/>
    </xf>
    <xf numFmtId="0" fontId="19" fillId="16" borderId="75" xfId="0" applyFont="1" applyFill="1" applyBorder="1" applyAlignment="1">
      <alignment horizontal="center" vertical="center" textRotation="90"/>
    </xf>
    <xf numFmtId="0" fontId="19" fillId="16" borderId="81" xfId="0" applyFont="1" applyFill="1" applyBorder="1" applyAlignment="1">
      <alignment horizontal="center" vertical="center" textRotation="90"/>
    </xf>
    <xf numFmtId="1" fontId="0" fillId="0" borderId="7" xfId="0" applyNumberFormat="1" applyBorder="1" applyAlignment="1">
      <alignment horizontal="center"/>
    </xf>
    <xf numFmtId="1" fontId="4" fillId="17" borderId="7" xfId="0" applyNumberFormat="1" applyFont="1" applyFill="1" applyBorder="1" applyAlignment="1">
      <alignment horizontal="center"/>
    </xf>
    <xf numFmtId="0" fontId="20" fillId="16" borderId="74" xfId="0" applyFont="1" applyFill="1" applyBorder="1" applyAlignment="1">
      <alignment horizontal="center"/>
    </xf>
    <xf numFmtId="0" fontId="20" fillId="16" borderId="66" xfId="0" applyFont="1" applyFill="1" applyBorder="1" applyAlignment="1">
      <alignment horizontal="center"/>
    </xf>
    <xf numFmtId="0" fontId="20" fillId="16" borderId="67" xfId="0" applyFont="1" applyFill="1" applyBorder="1" applyAlignment="1">
      <alignment horizontal="center"/>
    </xf>
    <xf numFmtId="0" fontId="9" fillId="9" borderId="21" xfId="0" applyFont="1" applyFill="1" applyBorder="1" applyAlignment="1">
      <alignment horizontal="center"/>
    </xf>
    <xf numFmtId="0" fontId="9" fillId="9" borderId="26" xfId="0" applyFont="1" applyFill="1" applyBorder="1" applyAlignment="1">
      <alignment horizontal="center"/>
    </xf>
    <xf numFmtId="0" fontId="9" fillId="9" borderId="22" xfId="0" applyFont="1" applyFill="1" applyBorder="1" applyAlignment="1">
      <alignment horizont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9" borderId="43" xfId="0" applyFont="1" applyFill="1" applyBorder="1" applyAlignment="1">
      <alignment horizontal="left" vertical="center"/>
    </xf>
    <xf numFmtId="0" fontId="1" fillId="9" borderId="82" xfId="0" applyFont="1" applyFill="1" applyBorder="1" applyAlignment="1">
      <alignment horizontal="left" vertical="center"/>
    </xf>
    <xf numFmtId="0" fontId="1" fillId="9" borderId="44" xfId="0" applyFont="1" applyFill="1" applyBorder="1" applyAlignment="1">
      <alignment horizontal="left" vertical="center"/>
    </xf>
    <xf numFmtId="0" fontId="1" fillId="9" borderId="4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9" borderId="13" xfId="0" applyFont="1" applyFill="1" applyBorder="1" applyAlignment="1">
      <alignment horizontal="left" vertical="center"/>
    </xf>
    <xf numFmtId="0" fontId="1" fillId="9" borderId="14" xfId="0" applyFont="1" applyFill="1" applyBorder="1" applyAlignment="1">
      <alignment horizontal="left" vertical="center"/>
    </xf>
    <xf numFmtId="0" fontId="1" fillId="9" borderId="15" xfId="0" applyFont="1" applyFill="1" applyBorder="1" applyAlignment="1">
      <alignment horizontal="left" vertical="center"/>
    </xf>
    <xf numFmtId="0" fontId="1" fillId="9" borderId="40" xfId="0" applyFont="1" applyFill="1" applyBorder="1" applyAlignment="1">
      <alignment horizontal="left" vertical="center"/>
    </xf>
    <xf numFmtId="0" fontId="11" fillId="9" borderId="21" xfId="0" applyFont="1" applyFill="1" applyBorder="1" applyAlignment="1">
      <alignment horizontal="center"/>
    </xf>
    <xf numFmtId="0" fontId="11" fillId="9" borderId="26" xfId="0" applyFont="1" applyFill="1" applyBorder="1" applyAlignment="1">
      <alignment horizontal="center"/>
    </xf>
    <xf numFmtId="0" fontId="11" fillId="9" borderId="22" xfId="0" applyFont="1" applyFill="1" applyBorder="1" applyAlignment="1">
      <alignment horizontal="center"/>
    </xf>
    <xf numFmtId="0" fontId="1" fillId="9" borderId="51" xfId="0" applyFont="1" applyFill="1" applyBorder="1" applyAlignment="1">
      <alignment horizontal="left" vertical="center"/>
    </xf>
    <xf numFmtId="0" fontId="1" fillId="9" borderId="50" xfId="0" applyFont="1" applyFill="1" applyBorder="1" applyAlignment="1">
      <alignment horizontal="left" vertical="center"/>
    </xf>
    <xf numFmtId="0" fontId="1" fillId="9" borderId="52" xfId="0" applyFont="1" applyFill="1" applyBorder="1" applyAlignment="1">
      <alignment horizontal="left" vertical="center"/>
    </xf>
    <xf numFmtId="0" fontId="6" fillId="2" borderId="0" xfId="1" applyFont="1" applyFill="1" applyAlignment="1" applyProtection="1">
      <alignment horizontal="left" vertical="center"/>
      <protection hidden="1"/>
    </xf>
    <xf numFmtId="0" fontId="2" fillId="0" borderId="0" xfId="0" applyFont="1" applyAlignment="1">
      <alignment horizontal="center"/>
    </xf>
    <xf numFmtId="0" fontId="1" fillId="4" borderId="12" xfId="0" applyFont="1" applyFill="1" applyBorder="1" applyAlignment="1">
      <alignment horizontal="center" wrapText="1"/>
    </xf>
    <xf numFmtId="0" fontId="1" fillId="4" borderId="3" xfId="0" applyFont="1" applyFill="1" applyBorder="1" applyAlignment="1">
      <alignment horizontal="center" wrapText="1"/>
    </xf>
    <xf numFmtId="0" fontId="1" fillId="4" borderId="5" xfId="0" applyFont="1" applyFill="1" applyBorder="1" applyAlignment="1">
      <alignment horizontal="center"/>
    </xf>
    <xf numFmtId="0" fontId="1" fillId="4" borderId="1" xfId="0" applyFont="1" applyFill="1" applyBorder="1" applyAlignment="1">
      <alignment horizontal="center"/>
    </xf>
  </cellXfs>
  <cellStyles count="3">
    <cellStyle name="Normal" xfId="0" builtinId="0"/>
    <cellStyle name="Normal 5" xfId="1" xr:uid="{00000000-0005-0000-0000-000001000000}"/>
    <cellStyle name="Percent" xfId="2" builtinId="5"/>
  </cellStyles>
  <dxfs count="8">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strike val="0"/>
        <color theme="0"/>
      </font>
      <fill>
        <patternFill>
          <bgColor rgb="FFC0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JP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1</xdr:row>
      <xdr:rowOff>85725</xdr:rowOff>
    </xdr:from>
    <xdr:to>
      <xdr:col>2</xdr:col>
      <xdr:colOff>523875</xdr:colOff>
      <xdr:row>4</xdr:row>
      <xdr:rowOff>129309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1" y="285750"/>
          <a:ext cx="981074" cy="7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21319</xdr:rowOff>
    </xdr:from>
    <xdr:to>
      <xdr:col>19</xdr:col>
      <xdr:colOff>57150</xdr:colOff>
      <xdr:row>17</xdr:row>
      <xdr:rowOff>94431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98700" y="2066019"/>
          <a:ext cx="10344150" cy="2562312"/>
        </a:xfrm>
        <a:prstGeom prst="rect">
          <a:avLst/>
        </a:prstGeom>
      </xdr:spPr>
    </xdr:pic>
    <xdr:clientData/>
  </xdr:twoCellAnchor>
  <xdr:twoCellAnchor editAs="oneCell">
    <xdr:from>
      <xdr:col>4</xdr:col>
      <xdr:colOff>0</xdr:colOff>
      <xdr:row>20</xdr:row>
      <xdr:rowOff>0</xdr:rowOff>
    </xdr:from>
    <xdr:to>
      <xdr:col>19</xdr:col>
      <xdr:colOff>57150</xdr:colOff>
      <xdr:row>32</xdr:row>
      <xdr:rowOff>41006</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 y="5400675"/>
          <a:ext cx="10058400" cy="2327006"/>
        </a:xfrm>
        <a:prstGeom prst="rect">
          <a:avLst/>
        </a:prstGeom>
      </xdr:spPr>
    </xdr:pic>
    <xdr:clientData/>
  </xdr:twoCellAnchor>
  <xdr:twoCellAnchor editAs="oneCell">
    <xdr:from>
      <xdr:col>3</xdr:col>
      <xdr:colOff>622300</xdr:colOff>
      <xdr:row>33</xdr:row>
      <xdr:rowOff>41446</xdr:rowOff>
    </xdr:from>
    <xdr:to>
      <xdr:col>18</xdr:col>
      <xdr:colOff>357558</xdr:colOff>
      <xdr:row>72</xdr:row>
      <xdr:rowOff>121245</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235200" y="6175546"/>
          <a:ext cx="10022258" cy="7013999"/>
        </a:xfrm>
        <a:prstGeom prst="rect">
          <a:avLst/>
        </a:prstGeom>
      </xdr:spPr>
    </xdr:pic>
    <xdr:clientData/>
  </xdr:twoCellAnchor>
  <xdr:twoCellAnchor editAs="oneCell">
    <xdr:from>
      <xdr:col>3</xdr:col>
      <xdr:colOff>558800</xdr:colOff>
      <xdr:row>77</xdr:row>
      <xdr:rowOff>10623</xdr:rowOff>
    </xdr:from>
    <xdr:to>
      <xdr:col>18</xdr:col>
      <xdr:colOff>615950</xdr:colOff>
      <xdr:row>91</xdr:row>
      <xdr:rowOff>146761</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171700" y="16279323"/>
          <a:ext cx="10344150" cy="2625338"/>
        </a:xfrm>
        <a:prstGeom prst="rect">
          <a:avLst/>
        </a:prstGeom>
      </xdr:spPr>
    </xdr:pic>
    <xdr:clientData/>
  </xdr:twoCellAnchor>
  <xdr:twoCellAnchor editAs="oneCell">
    <xdr:from>
      <xdr:col>4</xdr:col>
      <xdr:colOff>0</xdr:colOff>
      <xdr:row>95</xdr:row>
      <xdr:rowOff>0</xdr:rowOff>
    </xdr:from>
    <xdr:to>
      <xdr:col>19</xdr:col>
      <xdr:colOff>57150</xdr:colOff>
      <xdr:row>104</xdr:row>
      <xdr:rowOff>10532</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8375" y="20831175"/>
          <a:ext cx="10058400" cy="1725032"/>
        </a:xfrm>
        <a:prstGeom prst="rect">
          <a:avLst/>
        </a:prstGeom>
      </xdr:spPr>
    </xdr:pic>
    <xdr:clientData/>
  </xdr:twoCellAnchor>
  <xdr:twoCellAnchor editAs="oneCell">
    <xdr:from>
      <xdr:col>4</xdr:col>
      <xdr:colOff>12700</xdr:colOff>
      <xdr:row>104</xdr:row>
      <xdr:rowOff>137177</xdr:rowOff>
    </xdr:from>
    <xdr:to>
      <xdr:col>15</xdr:col>
      <xdr:colOff>664230</xdr:colOff>
      <xdr:row>133</xdr:row>
      <xdr:rowOff>137638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311400" y="20139677"/>
          <a:ext cx="8214380" cy="5156661"/>
        </a:xfrm>
        <a:prstGeom prst="rect">
          <a:avLst/>
        </a:prstGeom>
      </xdr:spPr>
    </xdr:pic>
    <xdr:clientData/>
  </xdr:twoCellAnchor>
  <xdr:twoCellAnchor editAs="oneCell">
    <xdr:from>
      <xdr:col>4</xdr:col>
      <xdr:colOff>0</xdr:colOff>
      <xdr:row>138</xdr:row>
      <xdr:rowOff>51277</xdr:rowOff>
    </xdr:from>
    <xdr:to>
      <xdr:col>19</xdr:col>
      <xdr:colOff>57150</xdr:colOff>
      <xdr:row>152</xdr:row>
      <xdr:rowOff>136197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2298700" y="28232577"/>
          <a:ext cx="10344150" cy="2574120"/>
        </a:xfrm>
        <a:prstGeom prst="rect">
          <a:avLst/>
        </a:prstGeom>
      </xdr:spPr>
    </xdr:pic>
    <xdr:clientData/>
  </xdr:twoCellAnchor>
  <xdr:twoCellAnchor editAs="oneCell">
    <xdr:from>
      <xdr:col>4</xdr:col>
      <xdr:colOff>0</xdr:colOff>
      <xdr:row>156</xdr:row>
      <xdr:rowOff>0</xdr:rowOff>
    </xdr:from>
    <xdr:to>
      <xdr:col>19</xdr:col>
      <xdr:colOff>57150</xdr:colOff>
      <xdr:row>166</xdr:row>
      <xdr:rowOff>172831</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38375" y="33594675"/>
          <a:ext cx="10058400" cy="2077831"/>
        </a:xfrm>
        <a:prstGeom prst="rect">
          <a:avLst/>
        </a:prstGeom>
      </xdr:spPr>
    </xdr:pic>
    <xdr:clientData/>
  </xdr:twoCellAnchor>
  <xdr:twoCellAnchor editAs="oneCell">
    <xdr:from>
      <xdr:col>3</xdr:col>
      <xdr:colOff>622300</xdr:colOff>
      <xdr:row>167</xdr:row>
      <xdr:rowOff>170429</xdr:rowOff>
    </xdr:from>
    <xdr:to>
      <xdr:col>16</xdr:col>
      <xdr:colOff>128247</xdr:colOff>
      <xdr:row>210</xdr:row>
      <xdr:rowOff>152400</xdr:rowOff>
    </xdr:to>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2235200" y="32441129"/>
          <a:ext cx="8421347" cy="7627371"/>
        </a:xfrm>
        <a:prstGeom prst="rect">
          <a:avLst/>
        </a:prstGeom>
      </xdr:spPr>
    </xdr:pic>
    <xdr:clientData/>
  </xdr:twoCellAnchor>
  <xdr:twoCellAnchor editAs="oneCell">
    <xdr:from>
      <xdr:col>4</xdr:col>
      <xdr:colOff>0</xdr:colOff>
      <xdr:row>215</xdr:row>
      <xdr:rowOff>115541</xdr:rowOff>
    </xdr:from>
    <xdr:to>
      <xdr:col>19</xdr:col>
      <xdr:colOff>57150</xdr:colOff>
      <xdr:row>230</xdr:row>
      <xdr:rowOff>102109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2298700" y="42876441"/>
          <a:ext cx="10344150" cy="2653568"/>
        </a:xfrm>
        <a:prstGeom prst="rect">
          <a:avLst/>
        </a:prstGeom>
      </xdr:spPr>
    </xdr:pic>
    <xdr:clientData/>
  </xdr:twoCellAnchor>
  <xdr:twoCellAnchor editAs="oneCell">
    <xdr:from>
      <xdr:col>4</xdr:col>
      <xdr:colOff>0</xdr:colOff>
      <xdr:row>234</xdr:row>
      <xdr:rowOff>0</xdr:rowOff>
    </xdr:from>
    <xdr:to>
      <xdr:col>19</xdr:col>
      <xdr:colOff>57150</xdr:colOff>
      <xdr:row>245</xdr:row>
      <xdr:rowOff>16678</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238375" y="49406175"/>
          <a:ext cx="10058400" cy="2112178"/>
        </a:xfrm>
        <a:prstGeom prst="rect">
          <a:avLst/>
        </a:prstGeom>
      </xdr:spPr>
    </xdr:pic>
    <xdr:clientData/>
  </xdr:twoCellAnchor>
  <xdr:twoCellAnchor editAs="oneCell">
    <xdr:from>
      <xdr:col>3</xdr:col>
      <xdr:colOff>604039</xdr:colOff>
      <xdr:row>246</xdr:row>
      <xdr:rowOff>25400</xdr:rowOff>
    </xdr:from>
    <xdr:to>
      <xdr:col>18</xdr:col>
      <xdr:colOff>45615</xdr:colOff>
      <xdr:row>283</xdr:row>
      <xdr:rowOff>38100</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2216939" y="48298100"/>
          <a:ext cx="9728576" cy="6591300"/>
        </a:xfrm>
        <a:prstGeom prst="rect">
          <a:avLst/>
        </a:prstGeom>
      </xdr:spPr>
    </xdr:pic>
    <xdr:clientData/>
  </xdr:twoCellAnchor>
  <xdr:twoCellAnchor editAs="oneCell">
    <xdr:from>
      <xdr:col>3</xdr:col>
      <xdr:colOff>584200</xdr:colOff>
      <xdr:row>287</xdr:row>
      <xdr:rowOff>103915</xdr:rowOff>
    </xdr:from>
    <xdr:to>
      <xdr:col>18</xdr:col>
      <xdr:colOff>641350</xdr:colOff>
      <xdr:row>304</xdr:row>
      <xdr:rowOff>88336</xdr:rowOff>
    </xdr:to>
    <xdr:pic>
      <xdr:nvPicPr>
        <xdr:cNvPr id="14" name="Picture 13">
          <a:extLst>
            <a:ext uri="{FF2B5EF4-FFF2-40B4-BE49-F238E27FC236}">
              <a16:creationId xmlns:a16="http://schemas.microsoft.com/office/drawing/2014/main" id="{9D2E8DB2-3155-4C00-90D9-5FF7D98C82D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197100" y="54599615"/>
          <a:ext cx="10344150" cy="3007021"/>
        </a:xfrm>
        <a:prstGeom prst="rect">
          <a:avLst/>
        </a:prstGeom>
      </xdr:spPr>
    </xdr:pic>
    <xdr:clientData/>
  </xdr:twoCellAnchor>
  <xdr:twoCellAnchor editAs="oneCell">
    <xdr:from>
      <xdr:col>3</xdr:col>
      <xdr:colOff>647700</xdr:colOff>
      <xdr:row>306</xdr:row>
      <xdr:rowOff>125845</xdr:rowOff>
    </xdr:from>
    <xdr:to>
      <xdr:col>19</xdr:col>
      <xdr:colOff>165100</xdr:colOff>
      <xdr:row>324</xdr:row>
      <xdr:rowOff>89702</xdr:rowOff>
    </xdr:to>
    <xdr:pic>
      <xdr:nvPicPr>
        <xdr:cNvPr id="15" name="Picture 14">
          <a:extLst>
            <a:ext uri="{FF2B5EF4-FFF2-40B4-BE49-F238E27FC236}">
              <a16:creationId xmlns:a16="http://schemas.microsoft.com/office/drawing/2014/main" id="{07392736-29F8-4341-B94F-F4BF8A75043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2260600" y="57999745"/>
          <a:ext cx="10490200" cy="3164257"/>
        </a:xfrm>
        <a:prstGeom prst="rect">
          <a:avLst/>
        </a:prstGeom>
      </xdr:spPr>
    </xdr:pic>
    <xdr:clientData/>
  </xdr:twoCellAnchor>
  <xdr:twoCellAnchor editAs="oneCell">
    <xdr:from>
      <xdr:col>4</xdr:col>
      <xdr:colOff>63500</xdr:colOff>
      <xdr:row>327</xdr:row>
      <xdr:rowOff>5413</xdr:rowOff>
    </xdr:from>
    <xdr:to>
      <xdr:col>19</xdr:col>
      <xdr:colOff>0</xdr:colOff>
      <xdr:row>367</xdr:row>
      <xdr:rowOff>202</xdr:rowOff>
    </xdr:to>
    <xdr:pic>
      <xdr:nvPicPr>
        <xdr:cNvPr id="16" name="Picture 15">
          <a:extLst>
            <a:ext uri="{FF2B5EF4-FFF2-40B4-BE49-F238E27FC236}">
              <a16:creationId xmlns:a16="http://schemas.microsoft.com/office/drawing/2014/main" id="{74FED0A3-C2A0-4876-9929-37AF888B5E3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2362200" y="61613113"/>
          <a:ext cx="10223500" cy="7106789"/>
        </a:xfrm>
        <a:prstGeom prst="rect">
          <a:avLst/>
        </a:prstGeom>
      </xdr:spPr>
    </xdr:pic>
    <xdr:clientData/>
  </xdr:twoCellAnchor>
  <xdr:twoCellAnchor editAs="oneCell">
    <xdr:from>
      <xdr:col>4</xdr:col>
      <xdr:colOff>0</xdr:colOff>
      <xdr:row>368</xdr:row>
      <xdr:rowOff>166374</xdr:rowOff>
    </xdr:from>
    <xdr:to>
      <xdr:col>18</xdr:col>
      <xdr:colOff>622300</xdr:colOff>
      <xdr:row>396</xdr:row>
      <xdr:rowOff>107815</xdr:rowOff>
    </xdr:to>
    <xdr:pic>
      <xdr:nvPicPr>
        <xdr:cNvPr id="18" name="Picture 17">
          <a:extLst>
            <a:ext uri="{FF2B5EF4-FFF2-40B4-BE49-F238E27FC236}">
              <a16:creationId xmlns:a16="http://schemas.microsoft.com/office/drawing/2014/main" id="{688A1AD7-116A-425D-BB6A-E499885E450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298700" y="69063874"/>
          <a:ext cx="10223500" cy="4919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massociates-my.sharepoint.com/personal/daniel_hicks_admenergy_com/Documents/FEPA_VFD_calc.xlsx" TargetMode="External"/><Relationship Id="rId1" Type="http://schemas.openxmlformats.org/officeDocument/2006/relationships/externalLinkPath" Target="https://admassociates-my.sharepoint.com/personal/daniel_hicks_admenergy_com/Documents/FEPA_VFD_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yan.novosedliak\AppData\Local\Microsoft\Windows\Temporary%20Internet%20Files\Content.Outlook\9XZA5X8S\PA%20TRM%20Calculato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Changelog"/>
      <sheetName val="Summary"/>
      <sheetName val="3.3.1 Premium Efficiency Motors"/>
      <sheetName val="3.3.2 VFD Improvements"/>
      <sheetName val="VFD Custom Load Profile"/>
      <sheetName val="ADM Review Comments"/>
      <sheetName val="Lookup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hodology"/>
      <sheetName val="Measure Group 1"/>
      <sheetName val="Measure Group 2"/>
      <sheetName val="Dropdowns"/>
      <sheetName val="Efficiency Tables"/>
      <sheetName val="Lookups"/>
      <sheetName val="Version Log"/>
    </sheetNames>
    <sheetDataSet>
      <sheetData sheetId="0" refreshError="1"/>
      <sheetData sheetId="1" refreshError="1"/>
      <sheetData sheetId="2" refreshError="1"/>
      <sheetData sheetId="3" refreshError="1"/>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djustmantFactor" displayName="AdjustmantFactor" ref="A3:B7" totalsRowShown="0">
  <autoFilter ref="A3:B7" xr:uid="{00000000-0009-0000-0100-000004000000}"/>
  <tableColumns count="2">
    <tableColumn id="1" xr3:uid="{00000000-0010-0000-0200-000001000000}" name="Building Schedule"/>
    <tableColumn id="2" xr3:uid="{00000000-0010-0000-0200-000002000000}" name="AF"/>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aselineNozzleMassFlow" displayName="BaselineNozzleMassFlow" ref="D3:E5" totalsRowShown="0">
  <autoFilter ref="D3:E5" xr:uid="{00000000-0009-0000-0100-000005000000}"/>
  <tableColumns count="2">
    <tableColumn id="1" xr3:uid="{00000000-0010-0000-0300-000001000000}" name="Nozzle Diameter"/>
    <tableColumn id="2" xr3:uid="{00000000-0010-0000-0300-000002000000}" name="Air Mass Flo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irEntrainingNozzleMassFlow" displayName="AirEntrainingNozzleMassFlow" ref="D8:E10" totalsRowShown="0">
  <autoFilter ref="D8:E10" xr:uid="{00000000-0009-0000-0100-000006000000}"/>
  <tableColumns count="2">
    <tableColumn id="1" xr3:uid="{00000000-0010-0000-0400-000001000000}" name="Nozzle Diameter"/>
    <tableColumn id="2" xr3:uid="{00000000-0010-0000-0400-000002000000}" name="Air Mass Flo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AverageCompressorkWCFM" displayName="AverageCompressorkWCFM" ref="G3:H9" totalsRowShown="0">
  <autoFilter ref="G3:H9" xr:uid="{00000000-0009-0000-0100-000007000000}"/>
  <tableColumns count="2">
    <tableColumn id="1" xr3:uid="{00000000-0010-0000-0500-000001000000}" name="Compressor Control Type"/>
    <tableColumn id="2" xr3:uid="{00000000-0010-0000-0500-000002000000}" name="Average Compressor kW/CFM"/>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SF" displayName="ESF" ref="D13:E16" totalsRowShown="0">
  <autoFilter ref="D13:E16" xr:uid="{00000000-0009-0000-0100-000009000000}"/>
  <tableColumns count="2">
    <tableColumn id="1" xr3:uid="{00000000-0010-0000-0700-000001000000}" name="Control"/>
    <tableColumn id="2" xr3:uid="{00000000-0010-0000-0700-000002000000}" name="ESF"/>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CMPHours" displayName="CMPHours" ref="A10:B14" totalsRowShown="0">
  <autoFilter ref="A10:B14" xr:uid="{00000000-0009-0000-0100-000001000000}"/>
  <tableColumns count="2">
    <tableColumn id="1" xr3:uid="{00000000-0010-0000-0800-000001000000}" name="Building Schedule"/>
    <tableColumn id="2" xr3:uid="{00000000-0010-0000-0800-000002000000}" name="Hours"/>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MPCF" displayName="CMPCF" ref="A18:B22" totalsRowShown="0">
  <autoFilter ref="A18:B22" xr:uid="{00000000-0009-0000-0100-00000A000000}"/>
  <tableColumns count="2">
    <tableColumn id="1" xr3:uid="{00000000-0010-0000-0900-000001000000}" name="Building Schedule"/>
    <tableColumn id="2" xr3:uid="{00000000-0010-0000-0900-000002000000}" nam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6E14-A496-45D6-9009-DE3DFAF717EC}">
  <dimension ref="A3:F39"/>
  <sheetViews>
    <sheetView workbookViewId="0">
      <selection activeCell="E6" sqref="E6"/>
    </sheetView>
  </sheetViews>
  <sheetFormatPr defaultRowHeight="15" x14ac:dyDescent="0.25"/>
  <cols>
    <col min="1" max="1" width="18.28515625" customWidth="1"/>
    <col min="2" max="2" width="13.140625" customWidth="1"/>
    <col min="3" max="3" width="16.140625" customWidth="1"/>
    <col min="4" max="4" width="13.140625" customWidth="1"/>
    <col min="5" max="5" width="45.85546875" customWidth="1"/>
    <col min="6" max="6" width="41.7109375" customWidth="1"/>
  </cols>
  <sheetData>
    <row r="3" spans="1:6" x14ac:dyDescent="0.25">
      <c r="A3" s="97" t="s">
        <v>0</v>
      </c>
      <c r="B3" s="97" t="s">
        <v>1</v>
      </c>
      <c r="C3" s="97" t="s">
        <v>2</v>
      </c>
      <c r="D3" s="97" t="s">
        <v>3</v>
      </c>
      <c r="E3" s="97" t="s">
        <v>4</v>
      </c>
      <c r="F3" s="97" t="s">
        <v>5</v>
      </c>
    </row>
    <row r="4" spans="1:6" ht="105" x14ac:dyDescent="0.25">
      <c r="A4" s="98" t="s">
        <v>6</v>
      </c>
      <c r="B4" s="99">
        <v>45229</v>
      </c>
      <c r="C4" s="98" t="s">
        <v>7</v>
      </c>
      <c r="D4" s="98" t="s">
        <v>8</v>
      </c>
      <c r="E4" s="98" t="s">
        <v>290</v>
      </c>
      <c r="F4" s="98"/>
    </row>
    <row r="5" spans="1:6" ht="120" x14ac:dyDescent="0.25">
      <c r="A5" s="98" t="s">
        <v>6</v>
      </c>
      <c r="B5" s="99">
        <v>45229</v>
      </c>
      <c r="C5" s="98" t="s">
        <v>9</v>
      </c>
      <c r="D5" s="98" t="s">
        <v>10</v>
      </c>
      <c r="E5" s="98" t="s">
        <v>292</v>
      </c>
      <c r="F5" s="98"/>
    </row>
    <row r="6" spans="1:6" ht="45" x14ac:dyDescent="0.25">
      <c r="A6" s="98" t="s">
        <v>6</v>
      </c>
      <c r="B6" s="99">
        <v>45229</v>
      </c>
      <c r="C6" s="98" t="s">
        <v>11</v>
      </c>
      <c r="D6" s="98" t="s">
        <v>12</v>
      </c>
      <c r="E6" s="98" t="s">
        <v>291</v>
      </c>
      <c r="F6" s="98"/>
    </row>
    <row r="7" spans="1:6" x14ac:dyDescent="0.25">
      <c r="A7" s="98"/>
      <c r="B7" s="98"/>
      <c r="C7" s="98"/>
      <c r="D7" s="98"/>
      <c r="E7" s="98"/>
      <c r="F7" s="98"/>
    </row>
    <row r="8" spans="1:6" x14ac:dyDescent="0.25">
      <c r="A8" s="98"/>
      <c r="B8" s="98"/>
      <c r="C8" s="98"/>
      <c r="D8" s="98"/>
      <c r="E8" s="98"/>
      <c r="F8" s="98"/>
    </row>
    <row r="9" spans="1:6" x14ac:dyDescent="0.25">
      <c r="A9" s="98"/>
      <c r="B9" s="98"/>
      <c r="C9" s="98"/>
      <c r="D9" s="98"/>
      <c r="E9" s="98"/>
      <c r="F9" s="98"/>
    </row>
    <row r="10" spans="1:6" x14ac:dyDescent="0.25">
      <c r="A10" s="98"/>
      <c r="B10" s="98"/>
      <c r="C10" s="98"/>
      <c r="D10" s="98"/>
      <c r="E10" s="98"/>
      <c r="F10" s="98"/>
    </row>
    <row r="11" spans="1:6" x14ac:dyDescent="0.25">
      <c r="A11" s="98"/>
      <c r="B11" s="98"/>
      <c r="C11" s="98"/>
      <c r="D11" s="98"/>
      <c r="E11" s="98"/>
      <c r="F11" s="98"/>
    </row>
    <row r="12" spans="1:6" x14ac:dyDescent="0.25">
      <c r="A12" s="98"/>
      <c r="B12" s="98"/>
      <c r="C12" s="98"/>
      <c r="D12" s="98"/>
      <c r="E12" s="98"/>
      <c r="F12" s="98"/>
    </row>
    <row r="13" spans="1:6" x14ac:dyDescent="0.25">
      <c r="A13" s="98"/>
      <c r="B13" s="98"/>
      <c r="C13" s="98"/>
      <c r="D13" s="98"/>
      <c r="E13" s="98"/>
      <c r="F13" s="98"/>
    </row>
    <row r="14" spans="1:6" x14ac:dyDescent="0.25">
      <c r="A14" s="98"/>
      <c r="B14" s="98"/>
      <c r="C14" s="98"/>
      <c r="D14" s="98"/>
      <c r="E14" s="98"/>
      <c r="F14" s="98"/>
    </row>
    <row r="15" spans="1:6" x14ac:dyDescent="0.25">
      <c r="A15" s="98"/>
      <c r="B15" s="98"/>
      <c r="C15" s="98"/>
      <c r="D15" s="98"/>
      <c r="E15" s="98"/>
      <c r="F15" s="98"/>
    </row>
    <row r="16" spans="1:6" x14ac:dyDescent="0.25">
      <c r="A16" s="98"/>
      <c r="B16" s="98"/>
      <c r="C16" s="98"/>
      <c r="D16" s="98"/>
      <c r="E16" s="98"/>
      <c r="F16" s="98"/>
    </row>
    <row r="17" spans="1:6" x14ac:dyDescent="0.25">
      <c r="A17" s="98"/>
      <c r="B17" s="98"/>
      <c r="C17" s="98"/>
      <c r="D17" s="98"/>
      <c r="E17" s="98"/>
      <c r="F17" s="98"/>
    </row>
    <row r="18" spans="1:6" x14ac:dyDescent="0.25">
      <c r="A18" s="98"/>
      <c r="B18" s="98"/>
      <c r="C18" s="98"/>
      <c r="D18" s="98"/>
      <c r="E18" s="98"/>
      <c r="F18" s="98"/>
    </row>
    <row r="19" spans="1:6" x14ac:dyDescent="0.25">
      <c r="A19" s="98"/>
      <c r="B19" s="98"/>
      <c r="C19" s="98"/>
      <c r="D19" s="98"/>
      <c r="E19" s="98"/>
      <c r="F19" s="98"/>
    </row>
    <row r="20" spans="1:6" x14ac:dyDescent="0.25">
      <c r="A20" s="98"/>
      <c r="B20" s="98"/>
      <c r="C20" s="98"/>
      <c r="D20" s="98"/>
      <c r="E20" s="98"/>
      <c r="F20" s="98"/>
    </row>
    <row r="21" spans="1:6" x14ac:dyDescent="0.25">
      <c r="A21" s="98"/>
      <c r="B21" s="98"/>
      <c r="C21" s="98"/>
      <c r="D21" s="98"/>
      <c r="E21" s="98"/>
      <c r="F21" s="98"/>
    </row>
    <row r="22" spans="1:6" x14ac:dyDescent="0.25">
      <c r="A22" s="98"/>
      <c r="B22" s="98"/>
      <c r="C22" s="98"/>
      <c r="D22" s="98"/>
      <c r="E22" s="98"/>
      <c r="F22" s="98"/>
    </row>
    <row r="23" spans="1:6" x14ac:dyDescent="0.25">
      <c r="A23" s="98"/>
      <c r="B23" s="98"/>
      <c r="C23" s="98"/>
      <c r="D23" s="98"/>
      <c r="E23" s="98"/>
      <c r="F23" s="98"/>
    </row>
    <row r="24" spans="1:6" x14ac:dyDescent="0.25">
      <c r="A24" s="98"/>
      <c r="B24" s="98"/>
      <c r="C24" s="98"/>
      <c r="D24" s="98"/>
      <c r="E24" s="98"/>
      <c r="F24" s="98"/>
    </row>
    <row r="25" spans="1:6" x14ac:dyDescent="0.25">
      <c r="A25" s="98"/>
      <c r="B25" s="98"/>
      <c r="C25" s="98"/>
      <c r="D25" s="98"/>
      <c r="E25" s="98"/>
      <c r="F25" s="98"/>
    </row>
    <row r="26" spans="1:6" x14ac:dyDescent="0.25">
      <c r="A26" s="98"/>
      <c r="B26" s="98"/>
      <c r="C26" s="98"/>
      <c r="D26" s="98"/>
      <c r="E26" s="98"/>
      <c r="F26" s="98"/>
    </row>
    <row r="27" spans="1:6" x14ac:dyDescent="0.25">
      <c r="A27" s="98"/>
      <c r="B27" s="98"/>
      <c r="C27" s="98"/>
      <c r="D27" s="98"/>
      <c r="E27" s="98"/>
      <c r="F27" s="98"/>
    </row>
    <row r="28" spans="1:6" x14ac:dyDescent="0.25">
      <c r="A28" s="98"/>
      <c r="B28" s="98"/>
      <c r="C28" s="98"/>
      <c r="D28" s="98"/>
      <c r="E28" s="98"/>
      <c r="F28" s="98"/>
    </row>
    <row r="29" spans="1:6" x14ac:dyDescent="0.25">
      <c r="A29" s="98"/>
      <c r="B29" s="98"/>
      <c r="C29" s="98"/>
      <c r="D29" s="98"/>
      <c r="E29" s="98"/>
      <c r="F29" s="98"/>
    </row>
    <row r="30" spans="1:6" x14ac:dyDescent="0.25">
      <c r="A30" s="98"/>
      <c r="B30" s="98"/>
      <c r="C30" s="98"/>
      <c r="D30" s="98"/>
      <c r="E30" s="98"/>
      <c r="F30" s="98"/>
    </row>
    <row r="31" spans="1:6" x14ac:dyDescent="0.25">
      <c r="A31" s="98"/>
      <c r="B31" s="98"/>
      <c r="C31" s="98"/>
      <c r="D31" s="98"/>
      <c r="E31" s="98"/>
      <c r="F31" s="98"/>
    </row>
    <row r="32" spans="1:6" x14ac:dyDescent="0.25">
      <c r="A32" s="98"/>
      <c r="B32" s="98"/>
      <c r="C32" s="98"/>
      <c r="D32" s="98"/>
      <c r="E32" s="98"/>
      <c r="F32" s="98"/>
    </row>
    <row r="33" spans="1:6" x14ac:dyDescent="0.25">
      <c r="A33" s="98"/>
      <c r="B33" s="98"/>
      <c r="C33" s="98"/>
      <c r="D33" s="98"/>
      <c r="E33" s="98"/>
      <c r="F33" s="98"/>
    </row>
    <row r="34" spans="1:6" x14ac:dyDescent="0.25">
      <c r="A34" s="98"/>
      <c r="B34" s="98"/>
      <c r="C34" s="98"/>
      <c r="D34" s="98"/>
      <c r="E34" s="98"/>
      <c r="F34" s="98"/>
    </row>
    <row r="35" spans="1:6" x14ac:dyDescent="0.25">
      <c r="A35" s="98"/>
      <c r="B35" s="98"/>
      <c r="C35" s="98"/>
      <c r="D35" s="98"/>
      <c r="E35" s="98"/>
      <c r="F35" s="98"/>
    </row>
    <row r="36" spans="1:6" x14ac:dyDescent="0.25">
      <c r="A36" s="98"/>
      <c r="B36" s="98"/>
      <c r="C36" s="98"/>
      <c r="D36" s="98"/>
      <c r="E36" s="98"/>
      <c r="F36" s="98"/>
    </row>
    <row r="37" spans="1:6" x14ac:dyDescent="0.25">
      <c r="A37" s="98"/>
      <c r="B37" s="98"/>
      <c r="C37" s="98"/>
      <c r="D37" s="98"/>
      <c r="E37" s="98"/>
      <c r="F37" s="98"/>
    </row>
    <row r="38" spans="1:6" x14ac:dyDescent="0.25">
      <c r="A38" s="98"/>
      <c r="B38" s="98"/>
      <c r="C38" s="98"/>
      <c r="D38" s="98"/>
      <c r="E38" s="98"/>
      <c r="F38" s="98"/>
    </row>
    <row r="39" spans="1:6" x14ac:dyDescent="0.25">
      <c r="A39" s="98"/>
      <c r="B39" s="98"/>
      <c r="C39" s="98"/>
      <c r="D39" s="98"/>
      <c r="E39" s="98"/>
      <c r="F39" s="9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sheetPr>
  <dimension ref="A2:F27"/>
  <sheetViews>
    <sheetView topLeftCell="A20" workbookViewId="0">
      <selection activeCell="F31" sqref="F31"/>
    </sheetView>
  </sheetViews>
  <sheetFormatPr defaultColWidth="11.28515625" defaultRowHeight="15" x14ac:dyDescent="0.25"/>
  <cols>
    <col min="1" max="1" width="4.85546875" style="1" customWidth="1"/>
    <col min="2" max="2" width="11.42578125" style="1" customWidth="1"/>
    <col min="3" max="3" width="13.42578125" style="1" customWidth="1"/>
    <col min="4" max="4" width="25" style="1" customWidth="1"/>
    <col min="5" max="5" width="68.85546875" style="8" customWidth="1"/>
    <col min="6" max="6" width="34.85546875" style="1" customWidth="1"/>
    <col min="7" max="16384" width="11.28515625" style="2"/>
  </cols>
  <sheetData>
    <row r="2" spans="1:6" ht="20.25" x14ac:dyDescent="0.25">
      <c r="B2" s="356" t="s">
        <v>176</v>
      </c>
      <c r="C2" s="356"/>
      <c r="D2" s="356"/>
      <c r="E2" s="356"/>
      <c r="F2" s="356"/>
    </row>
    <row r="4" spans="1:6" x14ac:dyDescent="0.25">
      <c r="B4" s="3" t="s">
        <v>177</v>
      </c>
      <c r="D4" s="4" t="s">
        <v>178</v>
      </c>
      <c r="E4" s="5" t="s">
        <v>179</v>
      </c>
      <c r="F4" s="4"/>
    </row>
    <row r="5" spans="1:6" x14ac:dyDescent="0.25">
      <c r="B5" s="3" t="s">
        <v>180</v>
      </c>
      <c r="D5" s="6" t="s">
        <v>178</v>
      </c>
      <c r="E5" s="7" t="s">
        <v>181</v>
      </c>
      <c r="F5" s="6"/>
    </row>
    <row r="6" spans="1:6" ht="25.5" customHeight="1" x14ac:dyDescent="0.25"/>
    <row r="7" spans="1:6" s="14" customFormat="1" x14ac:dyDescent="0.25">
      <c r="A7" s="9"/>
      <c r="B7" s="10" t="s">
        <v>182</v>
      </c>
      <c r="C7" s="11" t="s">
        <v>1</v>
      </c>
      <c r="D7" s="11" t="s">
        <v>183</v>
      </c>
      <c r="E7" s="12" t="s">
        <v>184</v>
      </c>
      <c r="F7" s="13" t="s">
        <v>185</v>
      </c>
    </row>
    <row r="8" spans="1:6" ht="28.5" customHeight="1" x14ac:dyDescent="0.25">
      <c r="B8" s="15">
        <v>0.1</v>
      </c>
      <c r="C8" s="16">
        <v>42478</v>
      </c>
      <c r="D8" s="16" t="s">
        <v>186</v>
      </c>
      <c r="E8" s="17" t="s">
        <v>187</v>
      </c>
      <c r="F8" s="18" t="s">
        <v>188</v>
      </c>
    </row>
    <row r="9" spans="1:6" ht="36" customHeight="1" x14ac:dyDescent="0.25">
      <c r="B9" s="15">
        <v>0.2</v>
      </c>
      <c r="C9" s="16">
        <v>42480</v>
      </c>
      <c r="D9" s="19" t="s">
        <v>189</v>
      </c>
      <c r="E9" s="17" t="s">
        <v>190</v>
      </c>
      <c r="F9" s="18" t="s">
        <v>188</v>
      </c>
    </row>
    <row r="10" spans="1:6" ht="28.5" customHeight="1" x14ac:dyDescent="0.25">
      <c r="B10" s="15">
        <v>0.3</v>
      </c>
      <c r="C10" s="16">
        <v>42487</v>
      </c>
      <c r="D10" s="19" t="s">
        <v>191</v>
      </c>
      <c r="E10" s="17" t="s">
        <v>192</v>
      </c>
      <c r="F10" s="18" t="s">
        <v>188</v>
      </c>
    </row>
    <row r="11" spans="1:6" ht="28.5" customHeight="1" x14ac:dyDescent="0.25">
      <c r="B11" s="15" t="s">
        <v>193</v>
      </c>
      <c r="C11" s="16">
        <v>42487</v>
      </c>
      <c r="D11" s="19" t="s">
        <v>194</v>
      </c>
      <c r="E11" s="17" t="s">
        <v>195</v>
      </c>
      <c r="F11" s="18" t="s">
        <v>188</v>
      </c>
    </row>
    <row r="12" spans="1:6" ht="28.5" customHeight="1" x14ac:dyDescent="0.25">
      <c r="B12" s="15" t="s">
        <v>196</v>
      </c>
      <c r="C12" s="16">
        <v>42562</v>
      </c>
      <c r="D12" s="19" t="s">
        <v>197</v>
      </c>
      <c r="E12" s="17" t="s">
        <v>198</v>
      </c>
      <c r="F12" s="18" t="s">
        <v>188</v>
      </c>
    </row>
    <row r="13" spans="1:6" ht="28.5" customHeight="1" x14ac:dyDescent="0.25">
      <c r="B13" s="15" t="s">
        <v>199</v>
      </c>
      <c r="C13" s="16">
        <v>42566</v>
      </c>
      <c r="D13" s="19" t="s">
        <v>197</v>
      </c>
      <c r="E13" s="17" t="s">
        <v>200</v>
      </c>
      <c r="F13" s="18" t="s">
        <v>188</v>
      </c>
    </row>
    <row r="14" spans="1:6" ht="28.5" customHeight="1" x14ac:dyDescent="0.25">
      <c r="B14" s="15" t="s">
        <v>201</v>
      </c>
      <c r="C14" s="16">
        <v>42569</v>
      </c>
      <c r="D14" s="19" t="s">
        <v>197</v>
      </c>
      <c r="E14" s="17" t="s">
        <v>202</v>
      </c>
      <c r="F14" s="18" t="s">
        <v>188</v>
      </c>
    </row>
    <row r="15" spans="1:6" ht="28.5" customHeight="1" x14ac:dyDescent="0.25">
      <c r="B15" s="15">
        <v>3</v>
      </c>
      <c r="C15" s="16">
        <v>42569</v>
      </c>
      <c r="D15" s="19" t="s">
        <v>203</v>
      </c>
      <c r="E15" s="17" t="s">
        <v>204</v>
      </c>
      <c r="F15" s="18" t="s">
        <v>188</v>
      </c>
    </row>
    <row r="16" spans="1:6" ht="28.5" customHeight="1" x14ac:dyDescent="0.25">
      <c r="B16" s="15" t="s">
        <v>205</v>
      </c>
      <c r="C16" s="16">
        <v>42851</v>
      </c>
      <c r="D16" s="19" t="s">
        <v>206</v>
      </c>
      <c r="E16" s="17" t="s">
        <v>207</v>
      </c>
      <c r="F16" s="18" t="s">
        <v>188</v>
      </c>
    </row>
    <row r="17" spans="2:6" ht="28.5" customHeight="1" x14ac:dyDescent="0.25">
      <c r="B17" s="15" t="s">
        <v>208</v>
      </c>
      <c r="C17" s="16">
        <v>42852</v>
      </c>
      <c r="D17" s="19" t="s">
        <v>209</v>
      </c>
      <c r="E17" s="17" t="s">
        <v>210</v>
      </c>
      <c r="F17" s="18" t="s">
        <v>188</v>
      </c>
    </row>
    <row r="18" spans="2:6" ht="28.5" customHeight="1" x14ac:dyDescent="0.25">
      <c r="B18" s="15" t="s">
        <v>211</v>
      </c>
      <c r="C18" s="16">
        <v>42871</v>
      </c>
      <c r="D18" s="19" t="s">
        <v>212</v>
      </c>
      <c r="E18" s="17" t="s">
        <v>213</v>
      </c>
      <c r="F18" s="18" t="s">
        <v>188</v>
      </c>
    </row>
    <row r="19" spans="2:6" ht="28.5" customHeight="1" x14ac:dyDescent="0.25">
      <c r="B19" s="15">
        <v>4</v>
      </c>
      <c r="C19" s="16">
        <v>42871</v>
      </c>
      <c r="D19" s="19" t="s">
        <v>214</v>
      </c>
      <c r="E19" s="17" t="s">
        <v>215</v>
      </c>
      <c r="F19" s="18" t="s">
        <v>188</v>
      </c>
    </row>
    <row r="20" spans="2:6" ht="28.5" customHeight="1" x14ac:dyDescent="0.25">
      <c r="B20" s="15">
        <v>4.0999999999999996</v>
      </c>
      <c r="C20" s="16">
        <v>42895</v>
      </c>
      <c r="D20" s="19" t="s">
        <v>216</v>
      </c>
      <c r="E20" s="17" t="s">
        <v>217</v>
      </c>
      <c r="F20" s="18" t="s">
        <v>188</v>
      </c>
    </row>
    <row r="21" spans="2:6" ht="28.5" customHeight="1" x14ac:dyDescent="0.25">
      <c r="B21" s="15">
        <v>4.2</v>
      </c>
      <c r="C21" s="16">
        <v>42898</v>
      </c>
      <c r="D21" s="19" t="s">
        <v>216</v>
      </c>
      <c r="E21" s="17" t="s">
        <v>218</v>
      </c>
      <c r="F21" s="18" t="s">
        <v>188</v>
      </c>
    </row>
    <row r="22" spans="2:6" ht="28.5" customHeight="1" x14ac:dyDescent="0.25">
      <c r="B22" s="15">
        <v>4.3</v>
      </c>
      <c r="C22" s="16">
        <v>42915</v>
      </c>
      <c r="D22" s="19" t="s">
        <v>216</v>
      </c>
      <c r="E22" s="17" t="s">
        <v>219</v>
      </c>
      <c r="F22" s="18" t="s">
        <v>188</v>
      </c>
    </row>
    <row r="23" spans="2:6" ht="28.5" customHeight="1" x14ac:dyDescent="0.25">
      <c r="B23" s="15">
        <v>4.4000000000000004</v>
      </c>
      <c r="C23" s="16">
        <v>44032</v>
      </c>
      <c r="D23" s="19" t="s">
        <v>216</v>
      </c>
      <c r="E23" s="17" t="s">
        <v>220</v>
      </c>
      <c r="F23" s="18" t="s">
        <v>188</v>
      </c>
    </row>
    <row r="24" spans="2:6" ht="28.5" customHeight="1" x14ac:dyDescent="0.25">
      <c r="B24" s="20">
        <v>5</v>
      </c>
      <c r="C24" s="55">
        <v>44337</v>
      </c>
      <c r="D24" s="21" t="s">
        <v>216</v>
      </c>
      <c r="E24" s="22" t="s">
        <v>221</v>
      </c>
      <c r="F24" s="23" t="s">
        <v>222</v>
      </c>
    </row>
    <row r="25" spans="2:6" ht="30" x14ac:dyDescent="0.25">
      <c r="B25" s="20">
        <v>5</v>
      </c>
      <c r="C25" s="55">
        <v>44351</v>
      </c>
      <c r="D25" s="21" t="s">
        <v>216</v>
      </c>
      <c r="E25" s="22" t="s">
        <v>223</v>
      </c>
      <c r="F25" s="23" t="s">
        <v>224</v>
      </c>
    </row>
    <row r="26" spans="2:6" ht="135" x14ac:dyDescent="0.25">
      <c r="B26" s="20">
        <v>5.0999999999999996</v>
      </c>
      <c r="C26" s="55">
        <v>44362</v>
      </c>
      <c r="D26" s="21" t="s">
        <v>216</v>
      </c>
      <c r="E26" s="22" t="s">
        <v>225</v>
      </c>
      <c r="F26" s="23" t="s">
        <v>226</v>
      </c>
    </row>
    <row r="27" spans="2:6" ht="45" x14ac:dyDescent="0.25">
      <c r="B27" s="20" t="s">
        <v>316</v>
      </c>
      <c r="C27" s="55">
        <v>45848</v>
      </c>
      <c r="D27" s="21" t="s">
        <v>317</v>
      </c>
      <c r="E27" s="22" t="s">
        <v>318</v>
      </c>
      <c r="F27" s="23" t="s">
        <v>319</v>
      </c>
    </row>
  </sheetData>
  <sheetProtection algorithmName="SHA-512" hashValue="VzK5qMyFlAnMy/au/n9DH3tlSlA8nTbLDqZciWQ012KWKjEDdhF2F9qhADARARsqhHR0RDGwSvO89kikvmoEbQ==" saltValue="Bc+8RXWAYh4aIaSb/a3PSQ==" spinCount="100000" sheet="1" objects="1" scenarios="1"/>
  <mergeCells count="1">
    <mergeCell ref="B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2:P49"/>
  <sheetViews>
    <sheetView topLeftCell="A29" zoomScale="130" zoomScaleNormal="130" workbookViewId="0">
      <selection activeCell="F32" sqref="F32"/>
    </sheetView>
  </sheetViews>
  <sheetFormatPr defaultRowHeight="15" x14ac:dyDescent="0.25"/>
  <cols>
    <col min="1" max="1" width="19" customWidth="1"/>
    <col min="4" max="4" width="23.140625" customWidth="1"/>
    <col min="5" max="5" width="15.28515625" customWidth="1"/>
    <col min="7" max="7" width="33.28515625" customWidth="1"/>
    <col min="8" max="8" width="29.42578125" customWidth="1"/>
    <col min="10" max="10" width="10.42578125" customWidth="1"/>
    <col min="11" max="11" width="9.28515625" bestFit="1" customWidth="1"/>
    <col min="12" max="16" width="11.28515625" bestFit="1" customWidth="1"/>
    <col min="18" max="18" width="22.7109375" customWidth="1"/>
    <col min="19" max="19" width="21.28515625" customWidth="1"/>
  </cols>
  <sheetData>
    <row r="2" spans="1:16" x14ac:dyDescent="0.25">
      <c r="A2" s="357" t="s">
        <v>162</v>
      </c>
      <c r="B2" s="357"/>
      <c r="D2" s="357" t="s">
        <v>227</v>
      </c>
      <c r="E2" s="357"/>
      <c r="G2" s="357" t="s">
        <v>228</v>
      </c>
      <c r="H2" s="357"/>
      <c r="J2" s="357" t="s">
        <v>229</v>
      </c>
      <c r="K2" s="357"/>
      <c r="L2" s="357"/>
      <c r="M2" s="357"/>
      <c r="N2" s="357"/>
      <c r="O2" s="357"/>
      <c r="P2" s="357"/>
    </row>
    <row r="3" spans="1:16" x14ac:dyDescent="0.25">
      <c r="A3" t="s">
        <v>45</v>
      </c>
      <c r="B3" t="s">
        <v>230</v>
      </c>
      <c r="D3" t="s">
        <v>53</v>
      </c>
      <c r="E3" t="s">
        <v>231</v>
      </c>
      <c r="G3" t="s">
        <v>57</v>
      </c>
      <c r="H3" t="s">
        <v>228</v>
      </c>
      <c r="J3" s="358" t="s">
        <v>232</v>
      </c>
      <c r="K3" s="360" t="s">
        <v>233</v>
      </c>
      <c r="L3" s="361"/>
      <c r="M3" s="361"/>
      <c r="N3" s="361"/>
      <c r="O3" s="361"/>
      <c r="P3" s="361"/>
    </row>
    <row r="4" spans="1:16" x14ac:dyDescent="0.25">
      <c r="A4" t="s">
        <v>131</v>
      </c>
      <c r="B4">
        <v>0.62</v>
      </c>
      <c r="D4" t="s">
        <v>234</v>
      </c>
      <c r="E4">
        <v>21</v>
      </c>
      <c r="G4" t="s">
        <v>235</v>
      </c>
      <c r="H4">
        <v>0.32</v>
      </c>
      <c r="J4" s="359"/>
      <c r="K4" s="33">
        <v>1.5625E-2</v>
      </c>
      <c r="L4" s="33">
        <v>3.125E-2</v>
      </c>
      <c r="M4" s="33">
        <v>6.25E-2</v>
      </c>
      <c r="N4" s="33">
        <v>0.125</v>
      </c>
      <c r="O4" s="33">
        <v>0.25</v>
      </c>
      <c r="P4" s="33">
        <v>0.375</v>
      </c>
    </row>
    <row r="5" spans="1:16" x14ac:dyDescent="0.25">
      <c r="A5" t="s">
        <v>236</v>
      </c>
      <c r="B5">
        <v>0.74</v>
      </c>
      <c r="D5" t="s">
        <v>237</v>
      </c>
      <c r="E5">
        <v>58</v>
      </c>
      <c r="G5" t="s">
        <v>238</v>
      </c>
      <c r="H5">
        <v>0.32</v>
      </c>
      <c r="J5" s="31">
        <v>70</v>
      </c>
      <c r="K5" s="29">
        <v>0.28999999999999998</v>
      </c>
      <c r="L5" s="27">
        <v>1.1599999999999999</v>
      </c>
      <c r="M5" s="29">
        <v>4.66</v>
      </c>
      <c r="N5" s="27">
        <v>18.62</v>
      </c>
      <c r="O5" s="29">
        <v>74.400000000000006</v>
      </c>
      <c r="P5" s="27">
        <v>167.8</v>
      </c>
    </row>
    <row r="6" spans="1:16" x14ac:dyDescent="0.25">
      <c r="A6" t="s">
        <v>239</v>
      </c>
      <c r="B6">
        <v>0.86</v>
      </c>
      <c r="G6" t="s">
        <v>240</v>
      </c>
      <c r="H6">
        <v>0.3</v>
      </c>
      <c r="J6" s="32">
        <v>80</v>
      </c>
      <c r="K6" s="30">
        <v>0.32</v>
      </c>
      <c r="L6" s="28">
        <v>1.26</v>
      </c>
      <c r="M6" s="30">
        <v>5.24</v>
      </c>
      <c r="N6" s="28">
        <v>20.76</v>
      </c>
      <c r="O6" s="30">
        <v>83.1</v>
      </c>
      <c r="P6" s="28">
        <v>187.2</v>
      </c>
    </row>
    <row r="7" spans="1:16" x14ac:dyDescent="0.25">
      <c r="A7" t="s">
        <v>241</v>
      </c>
      <c r="B7">
        <v>0.97</v>
      </c>
      <c r="D7" s="357" t="s">
        <v>242</v>
      </c>
      <c r="E7" s="357"/>
      <c r="G7" t="s">
        <v>243</v>
      </c>
      <c r="H7">
        <v>0.28000000000000003</v>
      </c>
      <c r="J7" s="31">
        <v>90</v>
      </c>
      <c r="K7" s="29">
        <v>0.36</v>
      </c>
      <c r="L7" s="27">
        <v>1.46</v>
      </c>
      <c r="M7" s="29">
        <v>5.72</v>
      </c>
      <c r="N7" s="27">
        <v>23.1</v>
      </c>
      <c r="O7" s="29">
        <v>92</v>
      </c>
      <c r="P7" s="27">
        <v>206.6</v>
      </c>
    </row>
    <row r="8" spans="1:16" x14ac:dyDescent="0.25">
      <c r="D8" t="s">
        <v>53</v>
      </c>
      <c r="E8" t="s">
        <v>231</v>
      </c>
      <c r="G8" t="s">
        <v>244</v>
      </c>
      <c r="H8">
        <v>0.23</v>
      </c>
      <c r="J8" s="32">
        <v>95</v>
      </c>
      <c r="K8" s="30">
        <v>0.38</v>
      </c>
      <c r="L8" s="28">
        <v>1.51</v>
      </c>
      <c r="M8" s="30">
        <v>6.02</v>
      </c>
      <c r="N8" s="28">
        <v>24.16</v>
      </c>
      <c r="O8" s="30">
        <v>96.5</v>
      </c>
      <c r="P8" s="28">
        <v>216.8</v>
      </c>
    </row>
    <row r="9" spans="1:16" x14ac:dyDescent="0.25">
      <c r="A9" s="357" t="s">
        <v>245</v>
      </c>
      <c r="B9" s="357"/>
      <c r="D9" t="s">
        <v>234</v>
      </c>
      <c r="E9">
        <v>6</v>
      </c>
      <c r="G9" t="s">
        <v>246</v>
      </c>
      <c r="H9">
        <v>0.27</v>
      </c>
      <c r="J9" s="31">
        <v>100</v>
      </c>
      <c r="K9" s="29">
        <v>0.4</v>
      </c>
      <c r="L9" s="27">
        <v>1.55</v>
      </c>
      <c r="M9" s="29">
        <v>6.31</v>
      </c>
      <c r="N9" s="27">
        <v>25.22</v>
      </c>
      <c r="O9" s="29">
        <v>100.9</v>
      </c>
      <c r="P9" s="27">
        <v>227</v>
      </c>
    </row>
    <row r="10" spans="1:16" x14ac:dyDescent="0.25">
      <c r="A10" t="s">
        <v>45</v>
      </c>
      <c r="B10" t="s">
        <v>247</v>
      </c>
      <c r="D10" t="s">
        <v>237</v>
      </c>
      <c r="E10">
        <v>11</v>
      </c>
      <c r="J10" s="31">
        <v>105</v>
      </c>
      <c r="K10" s="29">
        <v>0.42</v>
      </c>
      <c r="L10" s="27">
        <v>1.63</v>
      </c>
      <c r="M10" s="29">
        <v>6.58</v>
      </c>
      <c r="N10" s="27">
        <v>26.31</v>
      </c>
      <c r="O10" s="29">
        <v>105.2</v>
      </c>
      <c r="P10" s="27">
        <v>236.7</v>
      </c>
    </row>
    <row r="11" spans="1:16" x14ac:dyDescent="0.25">
      <c r="A11" t="s">
        <v>131</v>
      </c>
      <c r="B11">
        <v>1976</v>
      </c>
      <c r="J11" s="31">
        <v>110</v>
      </c>
      <c r="K11" s="29">
        <v>0.43</v>
      </c>
      <c r="L11" s="27">
        <v>1.71</v>
      </c>
      <c r="M11" s="29">
        <v>6.85</v>
      </c>
      <c r="N11" s="27">
        <v>27.39</v>
      </c>
      <c r="O11" s="29">
        <v>109.4</v>
      </c>
      <c r="P11" s="27">
        <v>246.4</v>
      </c>
    </row>
    <row r="12" spans="1:16" x14ac:dyDescent="0.25">
      <c r="A12" t="s">
        <v>236</v>
      </c>
      <c r="B12">
        <v>3952</v>
      </c>
      <c r="D12" s="357" t="s">
        <v>248</v>
      </c>
      <c r="E12" s="357"/>
      <c r="J12" s="31">
        <v>115</v>
      </c>
      <c r="K12" s="29">
        <v>0.45</v>
      </c>
      <c r="L12" s="27">
        <v>1.78</v>
      </c>
      <c r="M12" s="29">
        <v>7.12</v>
      </c>
      <c r="N12" s="27">
        <v>28.48</v>
      </c>
      <c r="O12" s="29">
        <v>113.7</v>
      </c>
      <c r="P12" s="27">
        <v>256.10000000000002</v>
      </c>
    </row>
    <row r="13" spans="1:16" x14ac:dyDescent="0.25">
      <c r="A13" t="s">
        <v>239</v>
      </c>
      <c r="B13">
        <v>5928</v>
      </c>
      <c r="D13" t="s">
        <v>249</v>
      </c>
      <c r="E13" t="s">
        <v>250</v>
      </c>
      <c r="J13" s="31">
        <v>120</v>
      </c>
      <c r="K13" s="29">
        <v>0.46</v>
      </c>
      <c r="L13" s="27">
        <v>1.86</v>
      </c>
      <c r="M13" s="29">
        <v>7.39</v>
      </c>
      <c r="N13" s="27">
        <v>29.56</v>
      </c>
      <c r="O13" s="29">
        <v>117.9</v>
      </c>
      <c r="P13" s="27">
        <v>265.8</v>
      </c>
    </row>
    <row r="14" spans="1:16" x14ac:dyDescent="0.25">
      <c r="A14" t="s">
        <v>241</v>
      </c>
      <c r="B14">
        <v>8320</v>
      </c>
      <c r="D14" t="s">
        <v>251</v>
      </c>
      <c r="E14">
        <v>0.1</v>
      </c>
      <c r="J14" s="31">
        <v>125</v>
      </c>
      <c r="K14" s="29">
        <v>0.48</v>
      </c>
      <c r="L14" s="27">
        <v>1.94</v>
      </c>
      <c r="M14" s="29">
        <v>7.66</v>
      </c>
      <c r="N14" s="27">
        <v>30.65</v>
      </c>
      <c r="O14" s="29">
        <v>122.2</v>
      </c>
      <c r="P14" s="27">
        <v>275.5</v>
      </c>
    </row>
    <row r="15" spans="1:16" x14ac:dyDescent="0.25">
      <c r="D15" t="s">
        <v>252</v>
      </c>
      <c r="E15">
        <v>0.17</v>
      </c>
    </row>
    <row r="16" spans="1:16" x14ac:dyDescent="0.25">
      <c r="D16" t="s">
        <v>253</v>
      </c>
      <c r="E16">
        <v>0.26</v>
      </c>
      <c r="J16" t="s">
        <v>254</v>
      </c>
      <c r="K16">
        <f>IF('Condensate Drains'!D8=1/64,2,IF('Condensate Drains'!D8=1/32,3,IF('Condensate Drains'!D8=1/16,4,IF('Condensate Drains'!D8=1/8,5,IF('Condensate Drains'!D8=1/4,6,IF('Condensate Drains'!D8=3/8,7,0))))))</f>
        <v>0</v>
      </c>
    </row>
    <row r="17" spans="1:11" x14ac:dyDescent="0.25">
      <c r="A17" s="357" t="s">
        <v>255</v>
      </c>
      <c r="B17" s="357"/>
      <c r="J17" t="s">
        <v>256</v>
      </c>
      <c r="K17">
        <f>IF('Condensate Drains'!D9=1/64,2,IF('Condensate Drains'!D9=1/32,3,IF('Condensate Drains'!D9=1/16,4,IF('Condensate Drains'!D9=1/8,5,IF('Condensate Drains'!D9=1/4,6,IF('Condensate Drains'!D9=3/8,7,0))))))</f>
        <v>0</v>
      </c>
    </row>
    <row r="18" spans="1:11" x14ac:dyDescent="0.25">
      <c r="A18" t="s">
        <v>45</v>
      </c>
      <c r="B18" t="s">
        <v>257</v>
      </c>
      <c r="J18" t="s">
        <v>258</v>
      </c>
      <c r="K18">
        <f>IF('Condensate Drains'!D10=1/64,2,IF('Condensate Drains'!D10=1/32,3,IF('Condensate Drains'!D10=1/16,4,IF('Condensate Drains'!D10=1/8,5,IF('Condensate Drains'!D10=1/4,6,IF('Condensate Drains'!D10=3/8,7,0))))))</f>
        <v>0</v>
      </c>
    </row>
    <row r="19" spans="1:11" x14ac:dyDescent="0.25">
      <c r="A19" t="s">
        <v>131</v>
      </c>
      <c r="B19">
        <v>0.24</v>
      </c>
      <c r="J19" t="s">
        <v>259</v>
      </c>
      <c r="K19">
        <f>IF('Condensate Drains'!D11=1/64,2,IF('Condensate Drains'!D11=1/32,3,IF('Condensate Drains'!D11=1/16,4,IF('Condensate Drains'!D11=1/8,5,IF('Condensate Drains'!D11=1/4,6,IF('Condensate Drains'!D11=3/8,7,0))))))</f>
        <v>0</v>
      </c>
    </row>
    <row r="20" spans="1:11" x14ac:dyDescent="0.25">
      <c r="A20" t="s">
        <v>236</v>
      </c>
      <c r="B20">
        <v>0.95</v>
      </c>
      <c r="J20" t="s">
        <v>260</v>
      </c>
      <c r="K20">
        <f>IF('Condensate Drains'!D12=1/64,2,IF('Condensate Drains'!D12=1/32,3,IF('Condensate Drains'!D12=1/16,4,IF('Condensate Drains'!D12=1/8,5,IF('Condensate Drains'!D12=1/4,6,IF('Condensate Drains'!D12=3/8,7,0))))))</f>
        <v>0</v>
      </c>
    </row>
    <row r="21" spans="1:11" x14ac:dyDescent="0.25">
      <c r="A21" t="s">
        <v>239</v>
      </c>
      <c r="B21">
        <v>0.95</v>
      </c>
      <c r="J21" t="s">
        <v>261</v>
      </c>
      <c r="K21">
        <f>IF('Condensate Drains'!D13=1/64,2,IF('Condensate Drains'!D13=1/32,3,IF('Condensate Drains'!D13=1/16,4,IF('Condensate Drains'!D13=1/8,5,IF('Condensate Drains'!D13=1/4,6,IF('Condensate Drains'!D13=3/8,7,0))))))</f>
        <v>0</v>
      </c>
    </row>
    <row r="22" spans="1:11" x14ac:dyDescent="0.25">
      <c r="A22" t="s">
        <v>241</v>
      </c>
      <c r="B22">
        <v>0.95</v>
      </c>
      <c r="J22" t="s">
        <v>262</v>
      </c>
      <c r="K22">
        <f>IF('Condensate Drains'!D14=1/64,2,IF('Condensate Drains'!D14=1/32,3,IF('Condensate Drains'!D14=1/16,4,IF('Condensate Drains'!D14=1/8,5,IF('Condensate Drains'!D14=1/4,6,IF('Condensate Drains'!D14=3/8,7,0))))))</f>
        <v>0</v>
      </c>
    </row>
    <row r="23" spans="1:11" x14ac:dyDescent="0.25">
      <c r="J23" t="s">
        <v>263</v>
      </c>
      <c r="K23">
        <f>IF('Condensate Drains'!D15=1/64,2,IF('Condensate Drains'!D15=1/32,3,IF('Condensate Drains'!D15=1/16,4,IF('Condensate Drains'!D15=1/8,5,IF('Condensate Drains'!D15=1/4,6,IF('Condensate Drains'!D15=3/8,7,0))))))</f>
        <v>0</v>
      </c>
    </row>
    <row r="24" spans="1:11" x14ac:dyDescent="0.25">
      <c r="J24" t="s">
        <v>264</v>
      </c>
      <c r="K24">
        <f>IF('Condensate Drains'!D16=1/64,2,IF('Condensate Drains'!D16=1/32,3,IF('Condensate Drains'!D16=1/16,4,IF('Condensate Drains'!D16=1/8,5,IF('Condensate Drains'!D16=1/4,6,IF('Condensate Drains'!D16=3/8,7,0))))))</f>
        <v>0</v>
      </c>
    </row>
    <row r="25" spans="1:11" x14ac:dyDescent="0.25">
      <c r="J25" t="s">
        <v>265</v>
      </c>
      <c r="K25">
        <f>IF('Condensate Drains'!D17=1/64,2,IF('Condensate Drains'!D17=1/32,3,IF('Condensate Drains'!D17=1/16,4,IF('Condensate Drains'!D17=1/8,5,IF('Condensate Drains'!D17=1/4,6,IF('Condensate Drains'!D17=3/8,7,0))))))</f>
        <v>0</v>
      </c>
    </row>
    <row r="26" spans="1:11" x14ac:dyDescent="0.25">
      <c r="A26" s="56" t="s">
        <v>266</v>
      </c>
    </row>
    <row r="27" spans="1:11" x14ac:dyDescent="0.25">
      <c r="A27" s="56" t="s">
        <v>267</v>
      </c>
    </row>
    <row r="28" spans="1:11" x14ac:dyDescent="0.25">
      <c r="A28" s="56" t="s">
        <v>268</v>
      </c>
    </row>
    <row r="29" spans="1:11" x14ac:dyDescent="0.25">
      <c r="A29" s="56" t="s">
        <v>269</v>
      </c>
    </row>
    <row r="30" spans="1:11" x14ac:dyDescent="0.25">
      <c r="A30" s="56" t="s">
        <v>270</v>
      </c>
    </row>
    <row r="31" spans="1:11" x14ac:dyDescent="0.25">
      <c r="A31" s="56" t="s">
        <v>271</v>
      </c>
    </row>
    <row r="32" spans="1:11" x14ac:dyDescent="0.25">
      <c r="A32" s="56" t="s">
        <v>272</v>
      </c>
    </row>
    <row r="33" spans="1:1" x14ac:dyDescent="0.25">
      <c r="A33" s="56" t="s">
        <v>273</v>
      </c>
    </row>
    <row r="34" spans="1:1" x14ac:dyDescent="0.25">
      <c r="A34" s="56" t="s">
        <v>274</v>
      </c>
    </row>
    <row r="35" spans="1:1" x14ac:dyDescent="0.25">
      <c r="A35" s="56" t="s">
        <v>275</v>
      </c>
    </row>
    <row r="36" spans="1:1" x14ac:dyDescent="0.25">
      <c r="A36" s="56" t="s">
        <v>276</v>
      </c>
    </row>
    <row r="37" spans="1:1" x14ac:dyDescent="0.25">
      <c r="A37" s="56" t="s">
        <v>277</v>
      </c>
    </row>
    <row r="38" spans="1:1" x14ac:dyDescent="0.25">
      <c r="A38" s="56" t="s">
        <v>278</v>
      </c>
    </row>
    <row r="39" spans="1:1" x14ac:dyDescent="0.25">
      <c r="A39" s="56" t="s">
        <v>279</v>
      </c>
    </row>
    <row r="40" spans="1:1" x14ac:dyDescent="0.25">
      <c r="A40" s="56" t="s">
        <v>280</v>
      </c>
    </row>
    <row r="41" spans="1:1" x14ac:dyDescent="0.25">
      <c r="A41" s="56" t="s">
        <v>281</v>
      </c>
    </row>
    <row r="42" spans="1:1" x14ac:dyDescent="0.25">
      <c r="A42" s="56" t="s">
        <v>282</v>
      </c>
    </row>
    <row r="43" spans="1:1" x14ac:dyDescent="0.25">
      <c r="A43" s="56" t="s">
        <v>283</v>
      </c>
    </row>
    <row r="44" spans="1:1" x14ac:dyDescent="0.25">
      <c r="A44" s="56" t="s">
        <v>284</v>
      </c>
    </row>
    <row r="45" spans="1:1" x14ac:dyDescent="0.25">
      <c r="A45" s="56" t="s">
        <v>285</v>
      </c>
    </row>
    <row r="46" spans="1:1" x14ac:dyDescent="0.25">
      <c r="A46" s="56" t="s">
        <v>286</v>
      </c>
    </row>
    <row r="47" spans="1:1" x14ac:dyDescent="0.25">
      <c r="A47" s="56" t="s">
        <v>287</v>
      </c>
    </row>
    <row r="48" spans="1:1" x14ac:dyDescent="0.25">
      <c r="A48" s="56" t="s">
        <v>288</v>
      </c>
    </row>
    <row r="49" spans="1:1" x14ac:dyDescent="0.25">
      <c r="A49" s="56" t="s">
        <v>289</v>
      </c>
    </row>
  </sheetData>
  <mergeCells count="10">
    <mergeCell ref="A17:B17"/>
    <mergeCell ref="A9:B9"/>
    <mergeCell ref="J3:J4"/>
    <mergeCell ref="J2:P2"/>
    <mergeCell ref="K3:P3"/>
    <mergeCell ref="A2:B2"/>
    <mergeCell ref="D2:E2"/>
    <mergeCell ref="D7:E7"/>
    <mergeCell ref="G2:H2"/>
    <mergeCell ref="D12:E12"/>
  </mergeCell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AT227"/>
  <sheetViews>
    <sheetView tabSelected="1" workbookViewId="0">
      <selection activeCell="V18" sqref="V18"/>
    </sheetView>
  </sheetViews>
  <sheetFormatPr defaultRowHeight="15" x14ac:dyDescent="0.25"/>
  <cols>
    <col min="1" max="1" width="3.140625" customWidth="1"/>
    <col min="10" max="10" width="18.28515625" bestFit="1" customWidth="1"/>
    <col min="11" max="11" width="4.7109375" customWidth="1"/>
    <col min="12" max="12" width="3.28515625" customWidth="1"/>
    <col min="13" max="46" width="9.140625" style="2"/>
  </cols>
  <sheetData>
    <row r="1" spans="1:12" ht="15.75" thickBot="1" x14ac:dyDescent="0.3">
      <c r="A1" s="37"/>
      <c r="B1" s="37"/>
      <c r="C1" s="37"/>
      <c r="D1" s="37"/>
      <c r="E1" s="37"/>
      <c r="F1" s="37"/>
      <c r="G1" s="37"/>
      <c r="H1" s="37"/>
      <c r="I1" s="37"/>
      <c r="J1" s="37"/>
      <c r="K1" s="37"/>
      <c r="L1" s="37"/>
    </row>
    <row r="2" spans="1:12" ht="18" customHeight="1" x14ac:dyDescent="0.25">
      <c r="A2" s="37"/>
      <c r="B2" s="204"/>
      <c r="C2" s="205"/>
      <c r="D2" s="210" t="s">
        <v>13</v>
      </c>
      <c r="E2" s="211"/>
      <c r="F2" s="211"/>
      <c r="G2" s="211"/>
      <c r="H2" s="211"/>
      <c r="I2" s="211"/>
      <c r="J2" s="35" t="s">
        <v>14</v>
      </c>
      <c r="K2" s="36" t="s">
        <v>316</v>
      </c>
      <c r="L2" s="37"/>
    </row>
    <row r="3" spans="1:12" ht="18" customHeight="1" x14ac:dyDescent="0.25">
      <c r="A3" s="37"/>
      <c r="B3" s="206"/>
      <c r="C3" s="207"/>
      <c r="D3" s="212"/>
      <c r="E3" s="212"/>
      <c r="F3" s="212"/>
      <c r="G3" s="212"/>
      <c r="H3" s="212"/>
      <c r="I3" s="212"/>
      <c r="J3" s="214" t="s">
        <v>15</v>
      </c>
      <c r="K3" s="215"/>
      <c r="L3" s="37"/>
    </row>
    <row r="4" spans="1:12" ht="18" customHeight="1" x14ac:dyDescent="0.25">
      <c r="A4" s="37"/>
      <c r="B4" s="206"/>
      <c r="C4" s="207"/>
      <c r="D4" s="212"/>
      <c r="E4" s="212"/>
      <c r="F4" s="212"/>
      <c r="G4" s="212"/>
      <c r="H4" s="212"/>
      <c r="I4" s="212"/>
      <c r="J4" s="214"/>
      <c r="K4" s="215"/>
      <c r="L4" s="37"/>
    </row>
    <row r="5" spans="1:12" ht="18" customHeight="1" thickBot="1" x14ac:dyDescent="0.3">
      <c r="A5" s="37"/>
      <c r="B5" s="208"/>
      <c r="C5" s="209"/>
      <c r="D5" s="213"/>
      <c r="E5" s="213"/>
      <c r="F5" s="213"/>
      <c r="G5" s="213"/>
      <c r="H5" s="213"/>
      <c r="I5" s="213"/>
      <c r="J5" s="216"/>
      <c r="K5" s="217"/>
      <c r="L5" s="37"/>
    </row>
    <row r="6" spans="1:12" ht="15.75" thickBot="1" x14ac:dyDescent="0.3">
      <c r="A6" s="37"/>
      <c r="B6" s="37"/>
      <c r="C6" s="37"/>
      <c r="D6" s="37"/>
      <c r="E6" s="37"/>
      <c r="F6" s="37"/>
      <c r="G6" s="37"/>
      <c r="H6" s="37"/>
      <c r="I6" s="37"/>
      <c r="J6" s="37"/>
      <c r="K6" s="37"/>
      <c r="L6" s="37"/>
    </row>
    <row r="7" spans="1:12" ht="15" customHeight="1" x14ac:dyDescent="0.25">
      <c r="A7" s="37"/>
      <c r="B7" s="218" t="s">
        <v>16</v>
      </c>
      <c r="C7" s="219"/>
      <c r="D7" s="219"/>
      <c r="E7" s="219"/>
      <c r="F7" s="219"/>
      <c r="G7" s="219"/>
      <c r="H7" s="219"/>
      <c r="I7" s="219"/>
      <c r="J7" s="219"/>
      <c r="K7" s="220"/>
      <c r="L7" s="37"/>
    </row>
    <row r="8" spans="1:12" ht="15.75" thickBot="1" x14ac:dyDescent="0.3">
      <c r="A8" s="37"/>
      <c r="B8" s="221"/>
      <c r="C8" s="222"/>
      <c r="D8" s="222"/>
      <c r="E8" s="222"/>
      <c r="F8" s="222"/>
      <c r="G8" s="222"/>
      <c r="H8" s="222"/>
      <c r="I8" s="222"/>
      <c r="J8" s="222"/>
      <c r="K8" s="223"/>
      <c r="L8" s="37"/>
    </row>
    <row r="9" spans="1:12" x14ac:dyDescent="0.25">
      <c r="A9" s="37"/>
      <c r="B9" s="38"/>
      <c r="C9" s="38"/>
      <c r="D9" s="38"/>
      <c r="E9" s="38"/>
      <c r="F9" s="38"/>
      <c r="G9" s="38"/>
      <c r="H9" s="38"/>
      <c r="I9" s="38"/>
      <c r="J9" s="38"/>
      <c r="K9" s="38"/>
      <c r="L9" s="37"/>
    </row>
    <row r="10" spans="1:12" ht="15" customHeight="1" x14ac:dyDescent="0.25">
      <c r="A10" s="37"/>
      <c r="B10" s="44" t="s">
        <v>17</v>
      </c>
      <c r="C10" s="44"/>
      <c r="D10" s="44"/>
      <c r="E10" s="44"/>
      <c r="F10" s="44"/>
      <c r="G10" s="44"/>
      <c r="H10" s="44"/>
      <c r="I10" s="44"/>
      <c r="J10" s="44"/>
      <c r="K10" s="44"/>
      <c r="L10" s="37"/>
    </row>
    <row r="11" spans="1:12" ht="15" customHeight="1" x14ac:dyDescent="0.25">
      <c r="A11" s="37"/>
      <c r="B11" s="194" t="s">
        <v>18</v>
      </c>
      <c r="C11" s="194"/>
      <c r="D11" s="194"/>
      <c r="E11" s="194"/>
      <c r="F11" s="194"/>
      <c r="G11" s="194"/>
      <c r="H11" s="194"/>
      <c r="I11" s="194"/>
      <c r="J11" s="194"/>
      <c r="K11" s="194"/>
      <c r="L11" s="37"/>
    </row>
    <row r="12" spans="1:12" x14ac:dyDescent="0.25">
      <c r="A12" s="37"/>
      <c r="B12" s="44" t="s">
        <v>19</v>
      </c>
      <c r="C12" s="44"/>
      <c r="D12" s="44"/>
      <c r="E12" s="44"/>
      <c r="F12" s="44"/>
      <c r="G12" s="44"/>
      <c r="H12" s="44"/>
      <c r="I12" s="44"/>
      <c r="J12" s="44"/>
      <c r="K12" s="44"/>
      <c r="L12" s="37"/>
    </row>
    <row r="13" spans="1:12" ht="15" customHeight="1" x14ac:dyDescent="0.25">
      <c r="A13" s="37"/>
      <c r="B13" s="194" t="s">
        <v>305</v>
      </c>
      <c r="C13" s="194"/>
      <c r="D13" s="194"/>
      <c r="E13" s="194"/>
      <c r="F13" s="194"/>
      <c r="G13" s="194"/>
      <c r="H13" s="194"/>
      <c r="I13" s="194"/>
      <c r="J13" s="194"/>
      <c r="K13" s="194"/>
      <c r="L13" s="37"/>
    </row>
    <row r="14" spans="1:12" x14ac:dyDescent="0.25">
      <c r="A14" s="37"/>
      <c r="B14" s="194"/>
      <c r="C14" s="194"/>
      <c r="D14" s="194"/>
      <c r="E14" s="194"/>
      <c r="F14" s="194"/>
      <c r="G14" s="194"/>
      <c r="H14" s="194"/>
      <c r="I14" s="194"/>
      <c r="J14" s="194"/>
      <c r="K14" s="194"/>
      <c r="L14" s="37"/>
    </row>
    <row r="15" spans="1:12" ht="15.75" thickBot="1" x14ac:dyDescent="0.3">
      <c r="A15" s="37"/>
      <c r="B15" s="194"/>
      <c r="C15" s="194"/>
      <c r="D15" s="194"/>
      <c r="E15" s="194"/>
      <c r="F15" s="194"/>
      <c r="G15" s="194"/>
      <c r="H15" s="194"/>
      <c r="I15" s="194"/>
      <c r="J15" s="194"/>
      <c r="K15" s="194"/>
      <c r="L15" s="37"/>
    </row>
    <row r="16" spans="1:12" x14ac:dyDescent="0.25">
      <c r="A16" s="37"/>
      <c r="B16" s="224" t="s">
        <v>9</v>
      </c>
      <c r="C16" s="225"/>
      <c r="D16" s="225"/>
      <c r="E16" s="225"/>
      <c r="F16" s="225"/>
      <c r="G16" s="225"/>
      <c r="H16" s="225"/>
      <c r="I16" s="225"/>
      <c r="J16" s="225"/>
      <c r="K16" s="226"/>
      <c r="L16" s="37"/>
    </row>
    <row r="17" spans="1:12" x14ac:dyDescent="0.25">
      <c r="A17" s="37"/>
      <c r="B17" s="195" t="s">
        <v>20</v>
      </c>
      <c r="C17" s="196"/>
      <c r="D17" s="196"/>
      <c r="E17" s="196"/>
      <c r="F17" s="196"/>
      <c r="G17" s="196"/>
      <c r="H17" s="196"/>
      <c r="I17" s="196"/>
      <c r="J17" s="196"/>
      <c r="K17" s="197"/>
      <c r="L17" s="37"/>
    </row>
    <row r="18" spans="1:12" x14ac:dyDescent="0.25">
      <c r="A18" s="37"/>
      <c r="B18" s="198"/>
      <c r="C18" s="199"/>
      <c r="D18" s="199"/>
      <c r="E18" s="199"/>
      <c r="F18" s="199"/>
      <c r="G18" s="199"/>
      <c r="H18" s="199"/>
      <c r="I18" s="199"/>
      <c r="J18" s="199"/>
      <c r="K18" s="200"/>
      <c r="L18" s="37"/>
    </row>
    <row r="19" spans="1:12" x14ac:dyDescent="0.25">
      <c r="A19" s="37"/>
      <c r="B19" s="201" t="s">
        <v>21</v>
      </c>
      <c r="C19" s="202"/>
      <c r="D19" s="202"/>
      <c r="E19" s="202"/>
      <c r="F19" s="202"/>
      <c r="G19" s="202"/>
      <c r="H19" s="202"/>
      <c r="I19" s="202"/>
      <c r="J19" s="202"/>
      <c r="K19" s="203"/>
      <c r="L19" s="37"/>
    </row>
    <row r="20" spans="1:12" ht="15" customHeight="1" x14ac:dyDescent="0.25">
      <c r="A20" s="37"/>
      <c r="B20" s="195" t="s">
        <v>22</v>
      </c>
      <c r="C20" s="196"/>
      <c r="D20" s="196"/>
      <c r="E20" s="196"/>
      <c r="F20" s="196"/>
      <c r="G20" s="196"/>
      <c r="H20" s="196"/>
      <c r="I20" s="196"/>
      <c r="J20" s="196"/>
      <c r="K20" s="197"/>
      <c r="L20" s="37"/>
    </row>
    <row r="21" spans="1:12" x14ac:dyDescent="0.25">
      <c r="A21" s="37"/>
      <c r="B21" s="195"/>
      <c r="C21" s="196"/>
      <c r="D21" s="196"/>
      <c r="E21" s="196"/>
      <c r="F21" s="196"/>
      <c r="G21" s="196"/>
      <c r="H21" s="196"/>
      <c r="I21" s="196"/>
      <c r="J21" s="196"/>
      <c r="K21" s="197"/>
      <c r="L21" s="37"/>
    </row>
    <row r="22" spans="1:12" x14ac:dyDescent="0.25">
      <c r="A22" s="37"/>
      <c r="B22" s="198"/>
      <c r="C22" s="199"/>
      <c r="D22" s="199"/>
      <c r="E22" s="199"/>
      <c r="F22" s="199"/>
      <c r="G22" s="199"/>
      <c r="H22" s="199"/>
      <c r="I22" s="199"/>
      <c r="J22" s="199"/>
      <c r="K22" s="200"/>
      <c r="L22" s="37"/>
    </row>
    <row r="23" spans="1:12" x14ac:dyDescent="0.25">
      <c r="A23" s="37"/>
      <c r="B23" s="201" t="s">
        <v>23</v>
      </c>
      <c r="C23" s="202"/>
      <c r="D23" s="202"/>
      <c r="E23" s="202"/>
      <c r="F23" s="202"/>
      <c r="G23" s="202"/>
      <c r="H23" s="202"/>
      <c r="I23" s="202"/>
      <c r="J23" s="202"/>
      <c r="K23" s="203"/>
      <c r="L23" s="37"/>
    </row>
    <row r="24" spans="1:12" x14ac:dyDescent="0.25">
      <c r="A24" s="37"/>
      <c r="B24" s="195" t="s">
        <v>24</v>
      </c>
      <c r="C24" s="196"/>
      <c r="D24" s="196"/>
      <c r="E24" s="196"/>
      <c r="F24" s="196"/>
      <c r="G24" s="196"/>
      <c r="H24" s="196"/>
      <c r="I24" s="196"/>
      <c r="J24" s="196"/>
      <c r="K24" s="197"/>
      <c r="L24" s="37"/>
    </row>
    <row r="25" spans="1:12" x14ac:dyDescent="0.25">
      <c r="A25" s="37"/>
      <c r="B25" s="198"/>
      <c r="C25" s="199"/>
      <c r="D25" s="199"/>
      <c r="E25" s="199"/>
      <c r="F25" s="199"/>
      <c r="G25" s="199"/>
      <c r="H25" s="199"/>
      <c r="I25" s="199"/>
      <c r="J25" s="199"/>
      <c r="K25" s="200"/>
      <c r="L25" s="37"/>
    </row>
    <row r="26" spans="1:12" x14ac:dyDescent="0.25">
      <c r="A26" s="37"/>
      <c r="B26" s="227" t="s">
        <v>25</v>
      </c>
      <c r="C26" s="228"/>
      <c r="D26" s="228"/>
      <c r="E26" s="228"/>
      <c r="F26" s="228"/>
      <c r="G26" s="228"/>
      <c r="H26" s="228"/>
      <c r="I26" s="228"/>
      <c r="J26" s="228"/>
      <c r="K26" s="229"/>
      <c r="L26" s="37"/>
    </row>
    <row r="27" spans="1:12" x14ac:dyDescent="0.25">
      <c r="A27" s="37"/>
      <c r="B27" s="195" t="s">
        <v>26</v>
      </c>
      <c r="C27" s="196"/>
      <c r="D27" s="196"/>
      <c r="E27" s="196"/>
      <c r="F27" s="196"/>
      <c r="G27" s="196"/>
      <c r="H27" s="196"/>
      <c r="I27" s="196"/>
      <c r="J27" s="196"/>
      <c r="K27" s="197"/>
      <c r="L27" s="37"/>
    </row>
    <row r="28" spans="1:12" x14ac:dyDescent="0.25">
      <c r="A28" s="37"/>
      <c r="B28" s="195"/>
      <c r="C28" s="196"/>
      <c r="D28" s="196"/>
      <c r="E28" s="196"/>
      <c r="F28" s="196"/>
      <c r="G28" s="196"/>
      <c r="H28" s="196"/>
      <c r="I28" s="196"/>
      <c r="J28" s="196"/>
      <c r="K28" s="197"/>
      <c r="L28" s="37"/>
    </row>
    <row r="29" spans="1:12" ht="15.75" thickBot="1" x14ac:dyDescent="0.3">
      <c r="A29" s="37"/>
      <c r="B29" s="221"/>
      <c r="C29" s="222"/>
      <c r="D29" s="222"/>
      <c r="E29" s="222"/>
      <c r="F29" s="222"/>
      <c r="G29" s="222"/>
      <c r="H29" s="222"/>
      <c r="I29" s="222"/>
      <c r="J29" s="222"/>
      <c r="K29" s="223"/>
      <c r="L29" s="37"/>
    </row>
    <row r="30" spans="1:12" ht="15.75" thickBot="1" x14ac:dyDescent="0.3">
      <c r="A30" s="37"/>
      <c r="B30" s="37"/>
      <c r="C30" s="37"/>
      <c r="D30" s="37"/>
      <c r="E30" s="37"/>
      <c r="F30" s="37"/>
      <c r="G30" s="37"/>
      <c r="H30" s="37"/>
      <c r="I30" s="37"/>
      <c r="J30" s="37"/>
      <c r="K30" s="37"/>
      <c r="L30" s="37"/>
    </row>
    <row r="31" spans="1:12" x14ac:dyDescent="0.25">
      <c r="A31" s="37"/>
      <c r="B31" s="230" t="s">
        <v>27</v>
      </c>
      <c r="C31" s="231"/>
      <c r="D31" s="231" t="s">
        <v>28</v>
      </c>
      <c r="E31" s="231"/>
      <c r="F31" s="231"/>
      <c r="G31" s="231"/>
      <c r="H31" s="231"/>
      <c r="I31" s="231"/>
      <c r="J31" s="231"/>
      <c r="K31" s="232"/>
      <c r="L31" s="37"/>
    </row>
    <row r="32" spans="1:12" x14ac:dyDescent="0.25">
      <c r="A32" s="37"/>
      <c r="B32" s="243" t="s">
        <v>29</v>
      </c>
      <c r="C32" s="244"/>
      <c r="D32" s="241" t="s">
        <v>30</v>
      </c>
      <c r="E32" s="241"/>
      <c r="F32" s="241"/>
      <c r="G32" s="241"/>
      <c r="H32" s="241"/>
      <c r="I32" s="241"/>
      <c r="J32" s="241"/>
      <c r="K32" s="242"/>
      <c r="L32" s="37"/>
    </row>
    <row r="33" spans="1:12" x14ac:dyDescent="0.25">
      <c r="A33" s="37"/>
      <c r="B33" s="245" t="s">
        <v>31</v>
      </c>
      <c r="C33" s="246"/>
      <c r="D33" s="241" t="s">
        <v>32</v>
      </c>
      <c r="E33" s="241"/>
      <c r="F33" s="241"/>
      <c r="G33" s="241"/>
      <c r="H33" s="241"/>
      <c r="I33" s="241"/>
      <c r="J33" s="241"/>
      <c r="K33" s="242"/>
      <c r="L33" s="37"/>
    </row>
    <row r="34" spans="1:12" x14ac:dyDescent="0.25">
      <c r="A34" s="37"/>
      <c r="B34" s="247" t="s">
        <v>33</v>
      </c>
      <c r="C34" s="248"/>
      <c r="D34" s="241" t="s">
        <v>34</v>
      </c>
      <c r="E34" s="241"/>
      <c r="F34" s="241"/>
      <c r="G34" s="241"/>
      <c r="H34" s="241"/>
      <c r="I34" s="241"/>
      <c r="J34" s="241"/>
      <c r="K34" s="242"/>
      <c r="L34" s="37"/>
    </row>
    <row r="35" spans="1:12" x14ac:dyDescent="0.25">
      <c r="A35" s="37"/>
      <c r="B35" s="249" t="s">
        <v>35</v>
      </c>
      <c r="C35" s="250"/>
      <c r="D35" s="241" t="s">
        <v>36</v>
      </c>
      <c r="E35" s="241"/>
      <c r="F35" s="241"/>
      <c r="G35" s="241"/>
      <c r="H35" s="241"/>
      <c r="I35" s="241"/>
      <c r="J35" s="241"/>
      <c r="K35" s="242"/>
      <c r="L35" s="37"/>
    </row>
    <row r="36" spans="1:12" x14ac:dyDescent="0.25">
      <c r="A36" s="37"/>
      <c r="B36" s="239" t="s">
        <v>37</v>
      </c>
      <c r="C36" s="240"/>
      <c r="D36" s="241" t="s">
        <v>38</v>
      </c>
      <c r="E36" s="241"/>
      <c r="F36" s="241"/>
      <c r="G36" s="241"/>
      <c r="H36" s="241"/>
      <c r="I36" s="241"/>
      <c r="J36" s="241"/>
      <c r="K36" s="242"/>
      <c r="L36" s="37"/>
    </row>
    <row r="37" spans="1:12" x14ac:dyDescent="0.25">
      <c r="A37" s="37"/>
      <c r="B37" s="251" t="s">
        <v>39</v>
      </c>
      <c r="C37" s="252"/>
      <c r="D37" s="241" t="s">
        <v>40</v>
      </c>
      <c r="E37" s="241"/>
      <c r="F37" s="241"/>
      <c r="G37" s="241"/>
      <c r="H37" s="241"/>
      <c r="I37" s="241"/>
      <c r="J37" s="241"/>
      <c r="K37" s="242"/>
      <c r="L37" s="37"/>
    </row>
    <row r="38" spans="1:12" ht="15.75" thickBot="1" x14ac:dyDescent="0.3">
      <c r="A38" s="37"/>
      <c r="B38" s="37"/>
      <c r="C38" s="37"/>
      <c r="D38" s="37"/>
      <c r="E38" s="37"/>
      <c r="F38" s="37"/>
      <c r="G38" s="37"/>
      <c r="H38" s="37"/>
      <c r="I38" s="37"/>
      <c r="J38" s="37"/>
      <c r="K38" s="37"/>
      <c r="L38" s="37"/>
    </row>
    <row r="39" spans="1:12" x14ac:dyDescent="0.25">
      <c r="A39" s="37"/>
      <c r="B39" s="92" t="s">
        <v>41</v>
      </c>
      <c r="C39" s="93"/>
      <c r="D39" s="94"/>
      <c r="E39" s="95" t="s">
        <v>42</v>
      </c>
      <c r="F39" s="93"/>
      <c r="G39" s="93"/>
      <c r="H39" s="93"/>
      <c r="I39" s="93"/>
      <c r="J39" s="93"/>
      <c r="K39" s="96"/>
      <c r="L39" s="37"/>
    </row>
    <row r="40" spans="1:12" x14ac:dyDescent="0.25">
      <c r="A40" s="37"/>
      <c r="B40" s="191" t="s">
        <v>43</v>
      </c>
      <c r="C40" s="192"/>
      <c r="D40" s="193"/>
      <c r="E40" s="188" t="s">
        <v>44</v>
      </c>
      <c r="F40" s="189"/>
      <c r="G40" s="189"/>
      <c r="H40" s="189"/>
      <c r="I40" s="189"/>
      <c r="J40" s="189"/>
      <c r="K40" s="190"/>
      <c r="L40" s="37"/>
    </row>
    <row r="41" spans="1:12" x14ac:dyDescent="0.25">
      <c r="A41" s="37"/>
      <c r="B41" s="191" t="s">
        <v>45</v>
      </c>
      <c r="C41" s="192"/>
      <c r="D41" s="193"/>
      <c r="E41" s="188" t="s">
        <v>46</v>
      </c>
      <c r="F41" s="189"/>
      <c r="G41" s="189"/>
      <c r="H41" s="189"/>
      <c r="I41" s="189"/>
      <c r="J41" s="189"/>
      <c r="K41" s="190"/>
      <c r="L41" s="37"/>
    </row>
    <row r="42" spans="1:12" x14ac:dyDescent="0.25">
      <c r="A42" s="37"/>
      <c r="B42" s="191" t="s">
        <v>47</v>
      </c>
      <c r="C42" s="192"/>
      <c r="D42" s="193"/>
      <c r="E42" s="188" t="s">
        <v>48</v>
      </c>
      <c r="F42" s="189"/>
      <c r="G42" s="189"/>
      <c r="H42" s="189"/>
      <c r="I42" s="189"/>
      <c r="J42" s="189"/>
      <c r="K42" s="190"/>
      <c r="L42" s="37"/>
    </row>
    <row r="43" spans="1:12" x14ac:dyDescent="0.25">
      <c r="A43" s="37"/>
      <c r="B43" s="191" t="s">
        <v>49</v>
      </c>
      <c r="C43" s="192"/>
      <c r="D43" s="193"/>
      <c r="E43" s="188" t="s">
        <v>50</v>
      </c>
      <c r="F43" s="189"/>
      <c r="G43" s="189"/>
      <c r="H43" s="189"/>
      <c r="I43" s="189"/>
      <c r="J43" s="189"/>
      <c r="K43" s="190"/>
      <c r="L43" s="37"/>
    </row>
    <row r="44" spans="1:12" x14ac:dyDescent="0.25">
      <c r="A44" s="37"/>
      <c r="B44" s="191" t="s">
        <v>51</v>
      </c>
      <c r="C44" s="192"/>
      <c r="D44" s="193"/>
      <c r="E44" s="188" t="s">
        <v>52</v>
      </c>
      <c r="F44" s="189"/>
      <c r="G44" s="189"/>
      <c r="H44" s="189"/>
      <c r="I44" s="189"/>
      <c r="J44" s="189"/>
      <c r="K44" s="190"/>
      <c r="L44" s="37"/>
    </row>
    <row r="45" spans="1:12" x14ac:dyDescent="0.25">
      <c r="A45" s="37"/>
      <c r="B45" s="191" t="s">
        <v>53</v>
      </c>
      <c r="C45" s="192"/>
      <c r="D45" s="193"/>
      <c r="E45" s="188" t="s">
        <v>54</v>
      </c>
      <c r="F45" s="189"/>
      <c r="G45" s="189"/>
      <c r="H45" s="189"/>
      <c r="I45" s="189"/>
      <c r="J45" s="189"/>
      <c r="K45" s="190"/>
      <c r="L45" s="37"/>
    </row>
    <row r="46" spans="1:12" x14ac:dyDescent="0.25">
      <c r="A46" s="37"/>
      <c r="B46" s="191" t="s">
        <v>55</v>
      </c>
      <c r="C46" s="192"/>
      <c r="D46" s="193"/>
      <c r="E46" s="188" t="s">
        <v>56</v>
      </c>
      <c r="F46" s="189"/>
      <c r="G46" s="189"/>
      <c r="H46" s="189"/>
      <c r="I46" s="189"/>
      <c r="J46" s="189"/>
      <c r="K46" s="190"/>
      <c r="L46" s="37"/>
    </row>
    <row r="47" spans="1:12" x14ac:dyDescent="0.25">
      <c r="A47" s="37"/>
      <c r="B47" s="191" t="s">
        <v>57</v>
      </c>
      <c r="C47" s="192"/>
      <c r="D47" s="193"/>
      <c r="E47" s="188" t="s">
        <v>58</v>
      </c>
      <c r="F47" s="189"/>
      <c r="G47" s="189"/>
      <c r="H47" s="189"/>
      <c r="I47" s="189"/>
      <c r="J47" s="189"/>
      <c r="K47" s="190"/>
      <c r="L47" s="37"/>
    </row>
    <row r="48" spans="1:12" x14ac:dyDescent="0.25">
      <c r="A48" s="37"/>
      <c r="B48" s="191" t="s">
        <v>59</v>
      </c>
      <c r="C48" s="192"/>
      <c r="D48" s="193"/>
      <c r="E48" s="188" t="s">
        <v>60</v>
      </c>
      <c r="F48" s="189"/>
      <c r="G48" s="189"/>
      <c r="H48" s="189"/>
      <c r="I48" s="189"/>
      <c r="J48" s="189"/>
      <c r="K48" s="190"/>
      <c r="L48" s="37"/>
    </row>
    <row r="49" spans="1:12" x14ac:dyDescent="0.25">
      <c r="A49" s="37"/>
      <c r="B49" s="191" t="s">
        <v>61</v>
      </c>
      <c r="C49" s="192"/>
      <c r="D49" s="193"/>
      <c r="E49" s="188" t="s">
        <v>62</v>
      </c>
      <c r="F49" s="189"/>
      <c r="G49" s="189"/>
      <c r="H49" s="189"/>
      <c r="I49" s="189"/>
      <c r="J49" s="189"/>
      <c r="K49" s="190"/>
      <c r="L49" s="37"/>
    </row>
    <row r="50" spans="1:12" x14ac:dyDescent="0.25">
      <c r="A50" s="37"/>
      <c r="B50" s="191" t="s">
        <v>63</v>
      </c>
      <c r="C50" s="192"/>
      <c r="D50" s="193"/>
      <c r="E50" s="188" t="s">
        <v>64</v>
      </c>
      <c r="F50" s="189"/>
      <c r="G50" s="189"/>
      <c r="H50" s="189"/>
      <c r="I50" s="189"/>
      <c r="J50" s="189"/>
      <c r="K50" s="190"/>
      <c r="L50" s="37"/>
    </row>
    <row r="51" spans="1:12" ht="15.75" thickBot="1" x14ac:dyDescent="0.3">
      <c r="A51" s="37"/>
      <c r="B51" s="233" t="s">
        <v>65</v>
      </c>
      <c r="C51" s="234"/>
      <c r="D51" s="235"/>
      <c r="E51" s="236" t="s">
        <v>66</v>
      </c>
      <c r="F51" s="237"/>
      <c r="G51" s="237"/>
      <c r="H51" s="237"/>
      <c r="I51" s="237"/>
      <c r="J51" s="237"/>
      <c r="K51" s="238"/>
      <c r="L51" s="37"/>
    </row>
    <row r="52" spans="1:12" s="2" customFormat="1" x14ac:dyDescent="0.25">
      <c r="A52" s="37"/>
      <c r="B52" s="37"/>
      <c r="C52" s="37"/>
      <c r="D52" s="37"/>
      <c r="E52" s="37"/>
      <c r="F52" s="37"/>
      <c r="G52" s="37"/>
      <c r="H52" s="37"/>
      <c r="I52" s="37"/>
      <c r="J52" s="37"/>
      <c r="K52" s="37"/>
      <c r="L52" s="37"/>
    </row>
    <row r="53" spans="1:12" s="2" customFormat="1" x14ac:dyDescent="0.25">
      <c r="A53" s="37"/>
      <c r="B53" s="37"/>
      <c r="C53" s="37"/>
      <c r="D53" s="37"/>
      <c r="E53" s="37"/>
      <c r="F53" s="37"/>
      <c r="G53" s="37"/>
      <c r="H53" s="37"/>
      <c r="I53" s="37"/>
      <c r="J53" s="37"/>
      <c r="K53" s="37"/>
      <c r="L53" s="37"/>
    </row>
    <row r="54" spans="1:12" s="2" customFormat="1" x14ac:dyDescent="0.25"/>
    <row r="55" spans="1:12" s="2" customFormat="1" x14ac:dyDescent="0.25"/>
    <row r="56" spans="1:12" s="2" customFormat="1" x14ac:dyDescent="0.25"/>
    <row r="57" spans="1:12" s="2" customFormat="1" x14ac:dyDescent="0.25"/>
    <row r="58" spans="1:12" s="2" customFormat="1" x14ac:dyDescent="0.25"/>
    <row r="59" spans="1:12" s="2" customFormat="1" x14ac:dyDescent="0.25"/>
    <row r="60" spans="1:12" s="2" customFormat="1" x14ac:dyDescent="0.25"/>
    <row r="61" spans="1:12" s="2" customFormat="1" x14ac:dyDescent="0.25"/>
    <row r="62" spans="1:12" s="2" customFormat="1" x14ac:dyDescent="0.25"/>
    <row r="63" spans="1:12" s="2" customFormat="1" x14ac:dyDescent="0.25"/>
    <row r="64" spans="1:12"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sheetData>
  <sheetProtection algorithmName="SHA-512" hashValue="avuE1K/uQTMFtkSNrwQ7RImp8Z4m+lYkg3ovEDhoWa7o/bqW8bw85N0zlqzX4b1MnAzZbNWrzFU8dwN6XgjpHw==" saltValue="/8HZ71AbAX+ZVkNmLp31/w==" spinCount="100000" sheet="1" selectLockedCells="1"/>
  <mergeCells count="52">
    <mergeCell ref="B51:D51"/>
    <mergeCell ref="E51:K51"/>
    <mergeCell ref="B36:C36"/>
    <mergeCell ref="D36:K36"/>
    <mergeCell ref="B27:K29"/>
    <mergeCell ref="D32:K32"/>
    <mergeCell ref="D33:K33"/>
    <mergeCell ref="D34:K34"/>
    <mergeCell ref="D35:K35"/>
    <mergeCell ref="B32:C32"/>
    <mergeCell ref="B33:C33"/>
    <mergeCell ref="B34:C34"/>
    <mergeCell ref="B35:C35"/>
    <mergeCell ref="B37:C37"/>
    <mergeCell ref="D37:K37"/>
    <mergeCell ref="B43:D43"/>
    <mergeCell ref="B26:K26"/>
    <mergeCell ref="B31:C31"/>
    <mergeCell ref="D31:K31"/>
    <mergeCell ref="B20:K22"/>
    <mergeCell ref="B19:K19"/>
    <mergeCell ref="B13:K15"/>
    <mergeCell ref="B24:K25"/>
    <mergeCell ref="B23:K23"/>
    <mergeCell ref="B2:C5"/>
    <mergeCell ref="D2:I5"/>
    <mergeCell ref="J3:K5"/>
    <mergeCell ref="B7:K8"/>
    <mergeCell ref="B17:K18"/>
    <mergeCell ref="B16:K16"/>
    <mergeCell ref="B11:K11"/>
    <mergeCell ref="B44:D44"/>
    <mergeCell ref="B45:D45"/>
    <mergeCell ref="B46:D46"/>
    <mergeCell ref="B40:D40"/>
    <mergeCell ref="B42:D42"/>
    <mergeCell ref="B41:D41"/>
    <mergeCell ref="E40:K40"/>
    <mergeCell ref="E42:K42"/>
    <mergeCell ref="E43:K43"/>
    <mergeCell ref="E47:K47"/>
    <mergeCell ref="E48:K48"/>
    <mergeCell ref="E44:K44"/>
    <mergeCell ref="E45:K45"/>
    <mergeCell ref="E46:K46"/>
    <mergeCell ref="E41:K41"/>
    <mergeCell ref="E49:K49"/>
    <mergeCell ref="E50:K50"/>
    <mergeCell ref="B49:D49"/>
    <mergeCell ref="B50:D50"/>
    <mergeCell ref="B47:D47"/>
    <mergeCell ref="B48:D48"/>
  </mergeCells>
  <pageMargins left="0.7" right="0.7" top="0.75" bottom="0.75" header="0.3" footer="0.3"/>
  <pageSetup scale="2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E398"/>
  <sheetViews>
    <sheetView zoomScale="60" zoomScaleNormal="60" workbookViewId="0">
      <selection activeCell="AS19" sqref="AS19"/>
    </sheetView>
  </sheetViews>
  <sheetFormatPr defaultColWidth="10" defaultRowHeight="15" x14ac:dyDescent="0.25"/>
  <cols>
    <col min="1" max="1" width="3.7109375" style="2" customWidth="1"/>
    <col min="2" max="2" width="10.140625" style="2" customWidth="1"/>
    <col min="3" max="3" width="9.7109375" style="2" customWidth="1"/>
    <col min="4" max="16384" width="10" style="2"/>
  </cols>
  <sheetData>
    <row r="1" spans="1:4" ht="35.25" x14ac:dyDescent="0.55000000000000004">
      <c r="A1" s="26" t="s">
        <v>67</v>
      </c>
    </row>
    <row r="2" spans="1:4" x14ac:dyDescent="0.25">
      <c r="B2" s="24"/>
      <c r="C2" s="25"/>
      <c r="D2" s="25"/>
    </row>
    <row r="19" spans="5:5" x14ac:dyDescent="0.25">
      <c r="E19" s="2" t="s">
        <v>68</v>
      </c>
    </row>
    <row r="33" spans="5:5" x14ac:dyDescent="0.25">
      <c r="E33" s="2" t="s">
        <v>69</v>
      </c>
    </row>
    <row r="74" spans="5:5" x14ac:dyDescent="0.25">
      <c r="E74" s="2" t="s">
        <v>70</v>
      </c>
    </row>
    <row r="93" spans="5:5" x14ac:dyDescent="0.25">
      <c r="E93" s="2" t="s">
        <v>71</v>
      </c>
    </row>
    <row r="105" spans="5:5" x14ac:dyDescent="0.25">
      <c r="E105" s="2" t="s">
        <v>72</v>
      </c>
    </row>
    <row r="135" spans="5:5" x14ac:dyDescent="0.25">
      <c r="E135" s="2" t="s">
        <v>73</v>
      </c>
    </row>
    <row r="154" spans="5:5" x14ac:dyDescent="0.25">
      <c r="E154" s="2" t="s">
        <v>74</v>
      </c>
    </row>
    <row r="168" spans="5:5" x14ac:dyDescent="0.25">
      <c r="E168" s="2" t="s">
        <v>75</v>
      </c>
    </row>
    <row r="212" spans="5:5" x14ac:dyDescent="0.25">
      <c r="E212" s="2" t="s">
        <v>76</v>
      </c>
    </row>
    <row r="232" spans="5:5" x14ac:dyDescent="0.25">
      <c r="E232" s="2" t="s">
        <v>77</v>
      </c>
    </row>
    <row r="246" spans="5:5" x14ac:dyDescent="0.25">
      <c r="E246" s="2" t="s">
        <v>78</v>
      </c>
    </row>
    <row r="284" spans="5:5" x14ac:dyDescent="0.25">
      <c r="E284" s="2" t="s">
        <v>79</v>
      </c>
    </row>
    <row r="306" spans="5:5" x14ac:dyDescent="0.25">
      <c r="E306" s="2" t="s">
        <v>80</v>
      </c>
    </row>
    <row r="326" spans="5:5" x14ac:dyDescent="0.25">
      <c r="E326" s="2" t="s">
        <v>81</v>
      </c>
    </row>
    <row r="368" spans="5:5" x14ac:dyDescent="0.25">
      <c r="E368" s="2" t="s">
        <v>82</v>
      </c>
    </row>
    <row r="398" spans="5:5" x14ac:dyDescent="0.25">
      <c r="E398" s="2" t="s">
        <v>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R62"/>
  <sheetViews>
    <sheetView zoomScale="85" zoomScaleNormal="85" workbookViewId="0">
      <selection activeCell="W19" sqref="W19"/>
    </sheetView>
  </sheetViews>
  <sheetFormatPr defaultRowHeight="15" x14ac:dyDescent="0.25"/>
  <cols>
    <col min="2" max="2" width="24.7109375" bestFit="1" customWidth="1"/>
    <col min="8" max="8" width="18.5703125" customWidth="1"/>
    <col min="9" max="9" width="23.140625" customWidth="1"/>
    <col min="10" max="10" width="15.140625" customWidth="1"/>
    <col min="16" max="16" width="12.28515625" hidden="1" customWidth="1"/>
    <col min="17" max="18" width="0" hidden="1" customWidth="1"/>
  </cols>
  <sheetData>
    <row r="1" spans="1:18" ht="15.75" thickBot="1" x14ac:dyDescent="0.3">
      <c r="A1" s="34"/>
      <c r="B1" s="34"/>
      <c r="C1" s="34"/>
      <c r="D1" s="34"/>
      <c r="E1" s="34"/>
      <c r="F1" s="34"/>
      <c r="G1" s="34"/>
      <c r="H1" s="34"/>
      <c r="I1" s="34"/>
      <c r="J1" s="34"/>
      <c r="K1" s="34"/>
      <c r="L1" s="34"/>
      <c r="M1" s="34"/>
      <c r="N1" s="34"/>
    </row>
    <row r="2" spans="1:18" x14ac:dyDescent="0.25">
      <c r="A2" s="34"/>
      <c r="B2" s="256" t="s">
        <v>84</v>
      </c>
      <c r="C2" s="257"/>
      <c r="D2" s="257"/>
      <c r="E2" s="257"/>
      <c r="F2" s="257"/>
      <c r="G2" s="257"/>
      <c r="H2" s="257"/>
      <c r="I2" s="257"/>
      <c r="J2" s="257"/>
      <c r="K2" s="257"/>
      <c r="L2" s="257"/>
      <c r="M2" s="258"/>
      <c r="N2" s="34"/>
    </row>
    <row r="3" spans="1:18" x14ac:dyDescent="0.25">
      <c r="A3" s="34"/>
      <c r="B3" s="259"/>
      <c r="C3" s="260"/>
      <c r="D3" s="260"/>
      <c r="E3" s="260"/>
      <c r="F3" s="260"/>
      <c r="G3" s="260"/>
      <c r="H3" s="260"/>
      <c r="I3" s="260"/>
      <c r="J3" s="260"/>
      <c r="K3" s="260"/>
      <c r="L3" s="260"/>
      <c r="M3" s="261"/>
      <c r="N3" s="34"/>
    </row>
    <row r="4" spans="1:18" ht="15.75" thickBot="1" x14ac:dyDescent="0.3">
      <c r="A4" s="34"/>
      <c r="B4" s="262"/>
      <c r="C4" s="263"/>
      <c r="D4" s="263"/>
      <c r="E4" s="263"/>
      <c r="F4" s="263"/>
      <c r="G4" s="263"/>
      <c r="H4" s="263"/>
      <c r="I4" s="263"/>
      <c r="J4" s="263"/>
      <c r="K4" s="263"/>
      <c r="L4" s="263"/>
      <c r="M4" s="264"/>
      <c r="N4" s="34"/>
    </row>
    <row r="5" spans="1:18" x14ac:dyDescent="0.25">
      <c r="A5" s="34"/>
      <c r="B5" s="34"/>
      <c r="C5" s="34"/>
      <c r="D5" s="34"/>
      <c r="E5" s="34"/>
      <c r="F5" s="34"/>
      <c r="G5" s="34"/>
      <c r="H5" s="34"/>
      <c r="I5" s="34"/>
      <c r="J5" s="34"/>
      <c r="K5" s="34"/>
      <c r="L5" s="34"/>
      <c r="M5" s="34"/>
      <c r="N5" s="34"/>
    </row>
    <row r="6" spans="1:18" ht="15" customHeight="1" x14ac:dyDescent="0.25">
      <c r="A6" s="34"/>
      <c r="B6" s="275" t="s">
        <v>85</v>
      </c>
      <c r="C6" s="276"/>
      <c r="D6" s="276"/>
      <c r="E6" s="276"/>
      <c r="F6" s="277"/>
      <c r="G6" s="34"/>
      <c r="H6" s="186" t="s">
        <v>310</v>
      </c>
      <c r="I6" s="253"/>
      <c r="J6" s="254"/>
      <c r="K6" s="254"/>
      <c r="L6" s="254"/>
      <c r="M6" s="255"/>
      <c r="N6" s="34"/>
    </row>
    <row r="7" spans="1:18" ht="15" customHeight="1" x14ac:dyDescent="0.25">
      <c r="A7" s="34"/>
      <c r="B7" s="278"/>
      <c r="C7" s="260"/>
      <c r="D7" s="260"/>
      <c r="E7" s="260"/>
      <c r="F7" s="279"/>
      <c r="G7" s="34"/>
      <c r="H7" s="186" t="s">
        <v>311</v>
      </c>
      <c r="I7" s="253"/>
      <c r="J7" s="254"/>
      <c r="K7" s="254"/>
      <c r="L7" s="254"/>
      <c r="M7" s="255"/>
      <c r="N7" s="34"/>
    </row>
    <row r="8" spans="1:18" ht="15.75" customHeight="1" x14ac:dyDescent="0.25">
      <c r="A8" s="34"/>
      <c r="B8" s="280"/>
      <c r="C8" s="281"/>
      <c r="D8" s="281"/>
      <c r="E8" s="281"/>
      <c r="F8" s="282"/>
      <c r="G8" s="34"/>
      <c r="H8" s="186" t="s">
        <v>312</v>
      </c>
      <c r="I8" s="253"/>
      <c r="J8" s="254"/>
      <c r="K8" s="254"/>
      <c r="L8" s="254"/>
      <c r="M8" s="255"/>
      <c r="N8" s="34"/>
    </row>
    <row r="9" spans="1:18" ht="15.75" customHeight="1" x14ac:dyDescent="0.25">
      <c r="A9" s="34"/>
      <c r="B9" s="283" t="s">
        <v>86</v>
      </c>
      <c r="C9" s="284"/>
      <c r="D9" s="284"/>
      <c r="E9" s="284"/>
      <c r="F9" s="285"/>
      <c r="G9" s="34"/>
      <c r="H9" s="186" t="s">
        <v>313</v>
      </c>
      <c r="I9" s="253"/>
      <c r="J9" s="254"/>
      <c r="K9" s="254"/>
      <c r="L9" s="254"/>
      <c r="M9" s="255"/>
      <c r="N9" s="34"/>
    </row>
    <row r="10" spans="1:18" ht="15.75" customHeight="1" thickBot="1" x14ac:dyDescent="0.3">
      <c r="A10" s="34"/>
      <c r="B10" s="286"/>
      <c r="C10" s="287"/>
      <c r="D10" s="287"/>
      <c r="E10" s="287"/>
      <c r="F10" s="288"/>
      <c r="G10" s="34"/>
      <c r="H10" s="187" t="s">
        <v>314</v>
      </c>
      <c r="I10" s="253"/>
      <c r="J10" s="254"/>
      <c r="K10" s="254"/>
      <c r="L10" s="254"/>
      <c r="M10" s="255"/>
      <c r="N10" s="34"/>
    </row>
    <row r="11" spans="1:18" ht="26.25" customHeight="1" x14ac:dyDescent="0.25">
      <c r="A11" s="34"/>
      <c r="B11" s="289"/>
      <c r="C11" s="290"/>
      <c r="D11" s="290"/>
      <c r="E11" s="290"/>
      <c r="F11" s="291"/>
      <c r="G11" s="34"/>
      <c r="H11" s="34"/>
      <c r="I11" s="34"/>
      <c r="J11" s="34"/>
      <c r="K11" s="34"/>
      <c r="L11" s="34"/>
      <c r="M11" s="34"/>
      <c r="N11" s="34"/>
      <c r="P11" s="178" t="s">
        <v>306</v>
      </c>
      <c r="Q11" s="179">
        <v>0.5</v>
      </c>
      <c r="R11" s="180" t="s">
        <v>307</v>
      </c>
    </row>
    <row r="12" spans="1:18" ht="15.75" customHeight="1" thickBot="1" x14ac:dyDescent="0.3">
      <c r="A12" s="34"/>
      <c r="B12" s="34"/>
      <c r="C12" s="34"/>
      <c r="D12" s="34"/>
      <c r="E12" s="34"/>
      <c r="F12" s="34"/>
      <c r="G12" s="34"/>
      <c r="H12" s="34"/>
      <c r="I12" s="34"/>
      <c r="J12" s="34"/>
      <c r="K12" s="34"/>
      <c r="L12" s="34"/>
      <c r="M12" s="34"/>
      <c r="N12" s="34"/>
      <c r="P12" s="181" t="s">
        <v>308</v>
      </c>
      <c r="Q12" s="182">
        <v>1</v>
      </c>
      <c r="R12" s="183">
        <f>VLOOKUP(I30,P11:Q12,2,TRUE)</f>
        <v>0.5</v>
      </c>
    </row>
    <row r="13" spans="1:18" x14ac:dyDescent="0.25">
      <c r="A13" s="34"/>
      <c r="B13" s="34"/>
      <c r="C13" s="273" t="s">
        <v>87</v>
      </c>
      <c r="D13" s="273"/>
      <c r="E13" s="274" t="s">
        <v>88</v>
      </c>
      <c r="F13" s="274"/>
      <c r="G13" s="34"/>
      <c r="H13" s="34"/>
      <c r="I13" s="34"/>
      <c r="J13" s="34"/>
      <c r="K13" s="34"/>
      <c r="L13" s="34"/>
      <c r="M13" s="34"/>
      <c r="N13" s="34"/>
    </row>
    <row r="14" spans="1:18" x14ac:dyDescent="0.25">
      <c r="A14" s="34"/>
      <c r="B14" s="34"/>
      <c r="C14" s="90" t="s">
        <v>89</v>
      </c>
      <c r="D14" s="90" t="s">
        <v>90</v>
      </c>
      <c r="E14" s="89" t="s">
        <v>89</v>
      </c>
      <c r="F14" s="89" t="s">
        <v>90</v>
      </c>
      <c r="G14" s="34"/>
      <c r="H14" s="34"/>
      <c r="I14" s="34"/>
      <c r="J14" s="34"/>
      <c r="K14" s="34"/>
      <c r="L14" s="34"/>
      <c r="M14" s="34"/>
      <c r="N14" s="34"/>
    </row>
    <row r="15" spans="1:18" x14ac:dyDescent="0.25">
      <c r="A15" s="34"/>
      <c r="B15" s="89" t="s">
        <v>91</v>
      </c>
      <c r="C15" s="69">
        <v>8</v>
      </c>
      <c r="D15" s="69">
        <v>17</v>
      </c>
      <c r="E15" s="45"/>
      <c r="F15" s="45"/>
      <c r="G15" s="34"/>
      <c r="H15" s="34"/>
      <c r="I15" s="34"/>
      <c r="J15" s="34"/>
      <c r="K15" s="34"/>
      <c r="L15" s="34"/>
      <c r="M15" s="34"/>
      <c r="N15" s="34"/>
    </row>
    <row r="16" spans="1:18" x14ac:dyDescent="0.25">
      <c r="A16" s="34"/>
      <c r="B16" s="89" t="s">
        <v>92</v>
      </c>
      <c r="C16" s="69">
        <v>8</v>
      </c>
      <c r="D16" s="69">
        <v>17</v>
      </c>
      <c r="E16" s="45"/>
      <c r="F16" s="45"/>
      <c r="G16" s="34"/>
      <c r="H16" s="34"/>
      <c r="I16" s="34"/>
      <c r="J16" s="34"/>
      <c r="K16" s="34"/>
      <c r="L16" s="34"/>
      <c r="M16" s="34"/>
      <c r="N16" s="34"/>
    </row>
    <row r="17" spans="1:14" x14ac:dyDescent="0.25">
      <c r="A17" s="34"/>
      <c r="B17" s="89" t="s">
        <v>93</v>
      </c>
      <c r="C17" s="69">
        <v>8</v>
      </c>
      <c r="D17" s="69">
        <v>17</v>
      </c>
      <c r="E17" s="45"/>
      <c r="F17" s="45"/>
      <c r="G17" s="34"/>
      <c r="H17" s="34"/>
      <c r="I17" s="34"/>
      <c r="J17" s="34"/>
      <c r="K17" s="34"/>
      <c r="L17" s="34"/>
      <c r="M17" s="34"/>
      <c r="N17" s="34"/>
    </row>
    <row r="18" spans="1:14" x14ac:dyDescent="0.25">
      <c r="A18" s="34"/>
      <c r="B18" s="89" t="s">
        <v>94</v>
      </c>
      <c r="C18" s="69">
        <v>8</v>
      </c>
      <c r="D18" s="69">
        <v>17</v>
      </c>
      <c r="E18" s="45"/>
      <c r="F18" s="45"/>
      <c r="G18" s="34"/>
      <c r="H18" s="34"/>
      <c r="I18" s="34"/>
      <c r="J18" s="34"/>
      <c r="K18" s="34"/>
      <c r="L18" s="34"/>
      <c r="M18" s="34"/>
      <c r="N18" s="34"/>
    </row>
    <row r="19" spans="1:14" x14ac:dyDescent="0.25">
      <c r="A19" s="34"/>
      <c r="B19" s="89" t="s">
        <v>95</v>
      </c>
      <c r="C19" s="69">
        <v>8</v>
      </c>
      <c r="D19" s="69">
        <v>17</v>
      </c>
      <c r="E19" s="45"/>
      <c r="F19" s="45"/>
      <c r="G19" s="34"/>
      <c r="H19" s="34"/>
      <c r="I19" s="34"/>
      <c r="J19" s="34"/>
      <c r="K19" s="34"/>
      <c r="L19" s="34"/>
      <c r="M19" s="34"/>
      <c r="N19" s="34"/>
    </row>
    <row r="20" spans="1:14" x14ac:dyDescent="0.25">
      <c r="A20" s="34"/>
      <c r="B20" s="89" t="s">
        <v>96</v>
      </c>
      <c r="C20" s="69">
        <v>0</v>
      </c>
      <c r="D20" s="69">
        <v>24</v>
      </c>
      <c r="E20" s="45"/>
      <c r="F20" s="45"/>
      <c r="G20" s="34"/>
      <c r="H20" s="34"/>
      <c r="I20" s="34"/>
      <c r="J20" s="34"/>
      <c r="K20" s="34"/>
      <c r="L20" s="34"/>
      <c r="M20" s="34"/>
      <c r="N20" s="34"/>
    </row>
    <row r="21" spans="1:14" x14ac:dyDescent="0.25">
      <c r="A21" s="34"/>
      <c r="B21" s="89" t="s">
        <v>97</v>
      </c>
      <c r="C21" s="69">
        <v>0</v>
      </c>
      <c r="D21" s="69">
        <v>24</v>
      </c>
      <c r="E21" s="45"/>
      <c r="F21" s="45"/>
      <c r="G21" s="34"/>
      <c r="H21" s="34"/>
      <c r="I21" s="34"/>
      <c r="J21" s="34"/>
      <c r="K21" s="34"/>
      <c r="L21" s="34"/>
      <c r="M21" s="34"/>
      <c r="N21" s="34"/>
    </row>
    <row r="22" spans="1:14" x14ac:dyDescent="0.25">
      <c r="A22" s="34"/>
      <c r="B22" s="89" t="s">
        <v>98</v>
      </c>
      <c r="C22" s="273">
        <v>8</v>
      </c>
      <c r="D22" s="273"/>
      <c r="E22" s="274"/>
      <c r="F22" s="274"/>
      <c r="G22" s="34"/>
      <c r="H22" s="34"/>
      <c r="I22" s="34"/>
      <c r="J22" s="34"/>
      <c r="K22" s="34"/>
      <c r="L22" s="34"/>
      <c r="M22" s="34"/>
      <c r="N22" s="34"/>
    </row>
    <row r="23" spans="1:14" x14ac:dyDescent="0.25">
      <c r="A23" s="34"/>
      <c r="B23" s="89" t="s">
        <v>99</v>
      </c>
      <c r="C23" s="273">
        <v>52</v>
      </c>
      <c r="D23" s="273"/>
      <c r="E23" s="274"/>
      <c r="F23" s="274"/>
      <c r="G23" s="34"/>
      <c r="H23" s="34"/>
      <c r="I23" s="34"/>
      <c r="J23" s="34"/>
      <c r="K23" s="34"/>
      <c r="L23" s="34"/>
      <c r="M23" s="34"/>
      <c r="N23" s="34"/>
    </row>
    <row r="24" spans="1:14" x14ac:dyDescent="0.25">
      <c r="A24" s="34"/>
      <c r="B24" s="89" t="s">
        <v>100</v>
      </c>
      <c r="C24" s="273">
        <v>0</v>
      </c>
      <c r="D24" s="273"/>
      <c r="E24" s="274"/>
      <c r="F24" s="274"/>
      <c r="G24" s="34"/>
      <c r="H24" s="34"/>
      <c r="I24" s="34"/>
      <c r="J24" s="34"/>
      <c r="K24" s="34"/>
      <c r="L24" s="34"/>
      <c r="M24" s="34"/>
      <c r="N24" s="34"/>
    </row>
    <row r="25" spans="1:14" x14ac:dyDescent="0.25">
      <c r="A25" s="34"/>
      <c r="B25" s="68" t="s">
        <v>101</v>
      </c>
      <c r="C25" s="320">
        <f>ROUND((((SUM(D15:D21)-SUM(C15:C21))*C23)/((7*24*52)/8760))-(C22*((SUM(D15:D19)-SUM(C15:C19))/5)),0)</f>
        <v>4777</v>
      </c>
      <c r="D25" s="320"/>
      <c r="E25" s="319">
        <f>ROUND((((SUM(F15:F21)-SUM(E15:E21))*E23)/((7*24*52)/8760))-(E22*((SUM(F15:F19)-SUM(E15:E19))/5)),0)</f>
        <v>0</v>
      </c>
      <c r="F25" s="319"/>
      <c r="G25" s="34"/>
      <c r="H25" s="34"/>
      <c r="I25" s="34"/>
      <c r="J25" s="34"/>
      <c r="K25" s="34"/>
      <c r="L25" s="34"/>
      <c r="M25" s="34"/>
      <c r="N25" s="34"/>
    </row>
    <row r="26" spans="1:14" x14ac:dyDescent="0.25">
      <c r="A26" s="34"/>
      <c r="B26" s="68" t="s">
        <v>102</v>
      </c>
      <c r="C26" s="273">
        <f>E50-(C24/13)</f>
        <v>0.75</v>
      </c>
      <c r="D26" s="273"/>
      <c r="E26" s="207">
        <f>IF(E25="","",E56-(E24/13))</f>
        <v>0</v>
      </c>
      <c r="F26" s="207"/>
      <c r="G26" s="34"/>
      <c r="H26" s="34"/>
      <c r="I26" s="34"/>
      <c r="J26" s="34"/>
      <c r="K26" s="34"/>
      <c r="L26" s="34"/>
      <c r="M26" s="34"/>
      <c r="N26" s="34"/>
    </row>
    <row r="27" spans="1:14" x14ac:dyDescent="0.25">
      <c r="A27" s="34"/>
      <c r="B27" s="34"/>
      <c r="C27" s="34"/>
      <c r="D27" s="34"/>
      <c r="E27" s="34"/>
      <c r="F27" s="34"/>
      <c r="G27" s="34"/>
      <c r="H27" s="34"/>
      <c r="I27" s="34"/>
      <c r="J27" s="34"/>
      <c r="K27" s="34"/>
      <c r="L27" s="34"/>
      <c r="M27" s="34"/>
      <c r="N27" s="34"/>
    </row>
    <row r="28" spans="1:14" ht="15.75" thickBot="1" x14ac:dyDescent="0.3">
      <c r="A28" s="34"/>
      <c r="B28" s="34"/>
      <c r="C28" s="34"/>
      <c r="D28" s="34"/>
      <c r="E28" s="34"/>
      <c r="F28" s="34"/>
      <c r="G28" s="34"/>
      <c r="H28" s="34"/>
      <c r="I28" s="34"/>
      <c r="J28" s="34"/>
      <c r="K28" s="34"/>
      <c r="L28" s="34"/>
      <c r="M28" s="34"/>
      <c r="N28" s="34"/>
    </row>
    <row r="29" spans="1:14" x14ac:dyDescent="0.25">
      <c r="A29" s="34"/>
      <c r="B29" s="265" t="s">
        <v>103</v>
      </c>
      <c r="C29" s="266"/>
      <c r="D29" s="266"/>
      <c r="E29" s="269">
        <f>SUM(F33:F37)</f>
        <v>0</v>
      </c>
      <c r="F29" s="269"/>
      <c r="G29" s="270"/>
      <c r="H29" s="34"/>
      <c r="I29" s="184" t="s">
        <v>309</v>
      </c>
      <c r="J29" s="34"/>
      <c r="K29" s="34"/>
      <c r="L29" s="34"/>
      <c r="M29" s="34"/>
      <c r="N29" s="34"/>
    </row>
    <row r="30" spans="1:14" ht="15.75" thickBot="1" x14ac:dyDescent="0.3">
      <c r="A30" s="34"/>
      <c r="B30" s="267" t="s">
        <v>104</v>
      </c>
      <c r="C30" s="268"/>
      <c r="D30" s="268"/>
      <c r="E30" s="271">
        <f>SUM(G33:G37)</f>
        <v>0</v>
      </c>
      <c r="F30" s="271"/>
      <c r="G30" s="272"/>
      <c r="H30" s="34"/>
      <c r="I30" s="185" t="s">
        <v>306</v>
      </c>
      <c r="J30" s="34"/>
      <c r="K30" s="34"/>
      <c r="L30" s="34"/>
      <c r="M30" s="34"/>
      <c r="N30" s="34"/>
    </row>
    <row r="31" spans="1:14" ht="15.75" thickBot="1" x14ac:dyDescent="0.3">
      <c r="A31" s="34"/>
      <c r="B31" s="34"/>
      <c r="C31" s="34"/>
      <c r="D31" s="34"/>
      <c r="E31" s="34"/>
      <c r="F31" s="34"/>
      <c r="G31" s="34"/>
      <c r="H31" s="34"/>
      <c r="I31" s="34"/>
      <c r="J31" s="34"/>
      <c r="K31" s="34"/>
      <c r="L31" s="34"/>
      <c r="M31" s="34"/>
      <c r="N31" s="34"/>
    </row>
    <row r="32" spans="1:14" ht="15.75" x14ac:dyDescent="0.25">
      <c r="A32" s="34"/>
      <c r="B32" s="308" t="s">
        <v>105</v>
      </c>
      <c r="C32" s="309"/>
      <c r="D32" s="309"/>
      <c r="E32" s="41" t="s">
        <v>106</v>
      </c>
      <c r="F32" s="41" t="s">
        <v>107</v>
      </c>
      <c r="G32" s="41" t="s">
        <v>108</v>
      </c>
      <c r="H32" s="41" t="s">
        <v>304</v>
      </c>
      <c r="I32" s="41" t="s">
        <v>315</v>
      </c>
      <c r="J32" s="34"/>
      <c r="K32" s="34"/>
      <c r="L32" s="34"/>
      <c r="M32" s="34"/>
      <c r="N32" s="34"/>
    </row>
    <row r="33" spans="1:17" ht="15.75" x14ac:dyDescent="0.25">
      <c r="A33" s="34"/>
      <c r="B33" s="310" t="s">
        <v>7</v>
      </c>
      <c r="C33" s="311"/>
      <c r="D33" s="311"/>
      <c r="E33" s="78">
        <f>COUNT('Air Compressor'!F8:F15)</f>
        <v>0</v>
      </c>
      <c r="F33" s="79">
        <f>SUM('Air Compressor'!S8:S15)</f>
        <v>0</v>
      </c>
      <c r="G33" s="80">
        <f>SUM('Air Compressor'!U8:U15)</f>
        <v>0</v>
      </c>
      <c r="H33" s="81">
        <f>SUM('Air Compressor'!F8:F15)*50*R12</f>
        <v>0</v>
      </c>
      <c r="I33" s="81"/>
      <c r="J33" s="34"/>
      <c r="K33" s="34"/>
      <c r="L33" s="34"/>
      <c r="M33" s="34"/>
      <c r="N33" s="34"/>
    </row>
    <row r="34" spans="1:17" ht="15.75" x14ac:dyDescent="0.25">
      <c r="A34" s="34"/>
      <c r="B34" s="295" t="s">
        <v>9</v>
      </c>
      <c r="C34" s="241"/>
      <c r="D34" s="241"/>
      <c r="E34" s="67">
        <f>COUNT('Cycling Dryer'!D8:D17)</f>
        <v>0</v>
      </c>
      <c r="F34" s="39">
        <f>'Cycling Dryer'!M18</f>
        <v>0</v>
      </c>
      <c r="G34" s="40">
        <f>'Cycling Dryer'!L18</f>
        <v>0</v>
      </c>
      <c r="H34" s="81">
        <f>SUM('Cycling Dryer'!D8:D17)*20*R12</f>
        <v>0</v>
      </c>
      <c r="I34" s="81"/>
      <c r="J34" s="34"/>
      <c r="K34" s="34"/>
      <c r="L34" s="34"/>
      <c r="M34" s="34"/>
      <c r="N34" s="34"/>
    </row>
    <row r="35" spans="1:17" ht="15.75" x14ac:dyDescent="0.25">
      <c r="A35" s="34"/>
      <c r="B35" s="295" t="s">
        <v>109</v>
      </c>
      <c r="C35" s="241"/>
      <c r="D35" s="241"/>
      <c r="E35" s="39">
        <f>SUM('Air Nozzle'!D9:D18)</f>
        <v>0</v>
      </c>
      <c r="F35" s="39">
        <f>'Air Nozzle'!N19</f>
        <v>0</v>
      </c>
      <c r="G35" s="40">
        <f>'Air Nozzle'!P19</f>
        <v>0</v>
      </c>
      <c r="H35" s="81">
        <f>SUM('Air Nozzle'!D9:D18)*10*R12</f>
        <v>0</v>
      </c>
      <c r="I35" s="81"/>
      <c r="J35" s="34"/>
      <c r="K35" s="34"/>
      <c r="L35" s="34"/>
      <c r="M35" s="34"/>
      <c r="N35" s="34"/>
    </row>
    <row r="36" spans="1:17" ht="15.75" x14ac:dyDescent="0.25">
      <c r="A36" s="34"/>
      <c r="B36" s="295" t="s">
        <v>23</v>
      </c>
      <c r="C36" s="241"/>
      <c r="D36" s="241"/>
      <c r="E36" s="67">
        <f>'Condensate Drains'!L18</f>
        <v>0</v>
      </c>
      <c r="F36" s="39">
        <f>'Condensate Drains'!O18</f>
        <v>0</v>
      </c>
      <c r="G36" s="40">
        <f>'Condensate Drains'!Q18</f>
        <v>0</v>
      </c>
      <c r="H36" s="81">
        <f>SUM('Condensate Drains'!L8:L17)*50*R12</f>
        <v>0</v>
      </c>
      <c r="I36" s="81"/>
      <c r="J36" s="34"/>
      <c r="K36" s="34"/>
      <c r="L36" s="34"/>
      <c r="M36" s="34"/>
      <c r="N36" s="34"/>
    </row>
    <row r="37" spans="1:17" ht="16.5" thickBot="1" x14ac:dyDescent="0.3">
      <c r="A37" s="34"/>
      <c r="B37" s="296" t="s">
        <v>25</v>
      </c>
      <c r="C37" s="297"/>
      <c r="D37" s="297"/>
      <c r="E37" s="82">
        <f>COUNT('Air Tanks'!D8:D17)</f>
        <v>0</v>
      </c>
      <c r="F37" s="42">
        <f>'Air Tanks'!N18</f>
        <v>0</v>
      </c>
      <c r="G37" s="43">
        <f>'Air Tanks'!P18</f>
        <v>0</v>
      </c>
      <c r="H37" s="83">
        <f>SUM('Air Tanks'!D8:D17)*20*R12</f>
        <v>0</v>
      </c>
      <c r="I37" s="83"/>
      <c r="J37" s="34"/>
      <c r="K37" s="34"/>
      <c r="L37" s="34"/>
      <c r="M37" s="34"/>
      <c r="N37" s="34"/>
    </row>
    <row r="38" spans="1:17" x14ac:dyDescent="0.25">
      <c r="A38" s="34"/>
      <c r="B38" s="34"/>
      <c r="C38" s="34"/>
      <c r="D38" s="34"/>
      <c r="E38" s="34"/>
      <c r="F38" s="34"/>
      <c r="G38" s="34"/>
      <c r="H38" s="34"/>
      <c r="I38" s="34"/>
      <c r="J38" s="34"/>
      <c r="K38" s="34"/>
      <c r="L38" s="34"/>
      <c r="M38" s="34"/>
      <c r="N38" s="34"/>
    </row>
    <row r="39" spans="1:17" x14ac:dyDescent="0.25">
      <c r="A39" s="34"/>
      <c r="B39" s="34"/>
      <c r="C39" s="34"/>
      <c r="D39" s="34"/>
      <c r="E39" s="34"/>
      <c r="F39" s="34"/>
      <c r="G39" s="34"/>
      <c r="H39" s="34"/>
      <c r="I39" s="34"/>
      <c r="J39" s="34"/>
      <c r="K39" s="34"/>
      <c r="L39" s="34"/>
      <c r="M39" s="34"/>
      <c r="N39" s="34"/>
    </row>
    <row r="41" spans="1:17" x14ac:dyDescent="0.25">
      <c r="C41" s="304"/>
      <c r="D41" s="304"/>
      <c r="E41" s="304"/>
      <c r="F41" s="304"/>
    </row>
    <row r="42" spans="1:17" x14ac:dyDescent="0.25">
      <c r="B42" s="305" t="s">
        <v>110</v>
      </c>
      <c r="C42" s="306"/>
      <c r="D42" s="306"/>
      <c r="E42" s="306"/>
      <c r="F42" s="306"/>
      <c r="G42" s="306"/>
      <c r="H42" s="306"/>
      <c r="I42" s="307"/>
      <c r="Q42" s="84"/>
    </row>
    <row r="43" spans="1:17" ht="15.75" thickBot="1" x14ac:dyDescent="0.3">
      <c r="B43" s="70"/>
      <c r="C43" s="71"/>
      <c r="D43" s="71"/>
      <c r="E43" s="72"/>
      <c r="F43" s="72"/>
      <c r="G43" s="72"/>
      <c r="H43" s="72"/>
      <c r="I43" s="73"/>
      <c r="Q43" s="85"/>
    </row>
    <row r="44" spans="1:17" ht="15.75" thickBot="1" x14ac:dyDescent="0.3">
      <c r="B44" s="70"/>
      <c r="C44" s="71"/>
      <c r="D44" s="71"/>
      <c r="E44" s="57">
        <v>14</v>
      </c>
      <c r="F44" s="58">
        <v>15</v>
      </c>
      <c r="G44" s="58">
        <v>16</v>
      </c>
      <c r="H44" s="59">
        <v>17</v>
      </c>
      <c r="I44" s="74"/>
      <c r="Q44" s="85"/>
    </row>
    <row r="45" spans="1:17" x14ac:dyDescent="0.25">
      <c r="B45" s="298" t="s">
        <v>91</v>
      </c>
      <c r="C45" s="299"/>
      <c r="D45" s="300"/>
      <c r="E45" s="60">
        <f>IF(AND(INDEX($C$15:$D$21,MATCH($B$45,$B$15:$B$21,0),1)&lt;$E$44,$E$44&lt;INDEX($C$15:$D$21,MATCH($B$45,$B$15:$B$21,0),2)),1,0)</f>
        <v>1</v>
      </c>
      <c r="F45" s="61">
        <f>IF(AND(INDEX($C$15:$D$21,MATCH($B$45,$B$15:$B$21,0),1)&lt;$F$44,$F$44&lt;INDEX($C$15:$D$21,MATCH($B$45,$B$15:$B$21,0),2)),1,0)</f>
        <v>1</v>
      </c>
      <c r="G45" s="61">
        <f>IF(AND(INDEX($C$15:$D$21,MATCH($B$45,$B$15:$B$21,0),1)&lt;$G$44,$G$44&lt;INDEX($C$15:$D$21,MATCH($B$45,$B$15:$B$21,0),2)),1,0)</f>
        <v>1</v>
      </c>
      <c r="H45" s="62">
        <f>IF(AND(INDEX($C$15:$D$21,MATCH($B$45,$B$15:$B$21,0),1)&lt;$H$44,$H$44&lt;INDEX($C$15:$D$21,MATCH($B$45,$B$15:$B$21,0),2)),1,0)</f>
        <v>0</v>
      </c>
      <c r="I45" s="315" t="str">
        <f>C13</f>
        <v>Example</v>
      </c>
      <c r="Q45" s="85"/>
    </row>
    <row r="46" spans="1:17" x14ac:dyDescent="0.25">
      <c r="B46" s="301" t="s">
        <v>92</v>
      </c>
      <c r="C46" s="302"/>
      <c r="D46" s="303"/>
      <c r="E46" s="91">
        <f>IF(AND(INDEX($C$15:$D$21,MATCH($B$46,$B$15:$B$21,0),1)&lt;$E$44,$E$44&lt;INDEX($C$15:$D$21,MATCH($B$46,$B$15:$B$21,0),2)),1,0)</f>
        <v>1</v>
      </c>
      <c r="F46" s="63">
        <f>IF(AND(INDEX($C$15:$D$21,MATCH($B$46,$B$15:$B$21,0),1)&lt;$F$44,$F$44&lt;INDEX($C$15:$D$21,MATCH($B$46,$B$15:$B$21,0),2)),1,0)</f>
        <v>1</v>
      </c>
      <c r="G46" s="63">
        <f>IF(AND(INDEX($C$15:$D$21,MATCH($B$46,$B$15:$B$21,0),1)&lt;$G$44,$G$44&lt;INDEX($C$15:$D$21,MATCH($B$46,$B$15:$B$21,0),2)),1,0)</f>
        <v>1</v>
      </c>
      <c r="H46" s="64">
        <f>IF(AND(INDEX($C$15:$D$21,MATCH($B$46,$B$15:$B$21,0),1)&lt;$H$44,$H$44&lt;INDEX($C$15:$D$21,MATCH($B$46,$B$15:$B$21,0),2)),1,0)</f>
        <v>0</v>
      </c>
      <c r="I46" s="316"/>
      <c r="Q46" s="85"/>
    </row>
    <row r="47" spans="1:17" x14ac:dyDescent="0.25">
      <c r="B47" s="301" t="s">
        <v>93</v>
      </c>
      <c r="C47" s="302"/>
      <c r="D47" s="303"/>
      <c r="E47" s="91">
        <f>IF(AND(INDEX($C$15:$D$21,MATCH($B$46,$B$15:$B$21,0),1)&lt;$E$44,$E$44&lt;INDEX($C$15:$D$21,MATCH($B$46,$B$15:$B$21,0),2)),1,0)</f>
        <v>1</v>
      </c>
      <c r="F47" s="91">
        <f>IF(AND(INDEX($C$15:$D$21,MATCH($B$46,$B$15:$B$21,0),1)&lt;$F$44,$F$44&lt;INDEX($C$15:$D$21,MATCH($B$46,$B$15:$B$21,0),2)),1,0)</f>
        <v>1</v>
      </c>
      <c r="G47" s="91">
        <f>IF(AND(INDEX($C$15:$D$21,MATCH($B$47,$B$15:$B$21,0),1)&lt;$G$44,$G$44&lt;INDEX($C$15:$D$21,MATCH($B$47,$B$15:$B$21,0),2)),1,0)</f>
        <v>1</v>
      </c>
      <c r="H47" s="64">
        <f>IF(AND(INDEX($C$15:$D$21,MATCH($B$47,$B$15:$B$21,0),1)&lt;$H$44,$H$44&lt;INDEX($C$15:$D$21,MATCH($B$47,$B$15:$B$21,0),2)),1,0)</f>
        <v>0</v>
      </c>
      <c r="I47" s="316"/>
      <c r="Q47" s="86"/>
    </row>
    <row r="48" spans="1:17" x14ac:dyDescent="0.25">
      <c r="B48" s="292" t="s">
        <v>94</v>
      </c>
      <c r="C48" s="293"/>
      <c r="D48" s="294"/>
      <c r="E48" s="91">
        <f>IF(AND(INDEX($C$15:$D$21,MATCH($B$48,$B$15:$B$21,0),1)&lt;$E$44,$E$44&lt;INDEX($C$15:$D$21,MATCH($B$48,$B$15:$B$21,0),2)),1,0)</f>
        <v>1</v>
      </c>
      <c r="F48" s="91">
        <f>IF(AND(INDEX($C$15:$D$21,MATCH($B$48,$B$15:$B$21,0),1)&lt;$F$44,$F$44&lt;INDEX($C$15:$D$21,MATCH($B$48,$B$15:$B$21,0),2)),1,0)</f>
        <v>1</v>
      </c>
      <c r="G48" s="91">
        <f>IF(AND(INDEX($C$15:$D$21,MATCH($B$48,$B$15:$B$21,0),1)&lt;$G$44,$G$44&lt;INDEX($C$15:$D$21,MATCH($B$48,$B$15:$B$21,0),2)),1,0)</f>
        <v>1</v>
      </c>
      <c r="H48" s="64">
        <f>IF(AND(INDEX($C$15:$D$21,MATCH($B$48,$B$15:$B$21,0),1)&lt;$H$44,$H$44&lt;INDEX($C$15:$D$21,MATCH($B$48,$B$15:$B$21,0),2)),1,0)</f>
        <v>0</v>
      </c>
      <c r="I48" s="316"/>
      <c r="Q48" s="85"/>
    </row>
    <row r="49" spans="2:17" x14ac:dyDescent="0.25">
      <c r="B49" s="292" t="s">
        <v>95</v>
      </c>
      <c r="C49" s="293"/>
      <c r="D49" s="294"/>
      <c r="E49" s="91">
        <f>IF(AND(INDEX($C$15:$D$21,MATCH($B$49,$B$15:$B$21,0),1)&lt;$E$44,$E$44&lt;INDEX($C$15:$D$21,MATCH($B$49,$B$15:$B$21,0),2)),1,0)</f>
        <v>1</v>
      </c>
      <c r="F49" s="91">
        <f>IF(AND(INDEX($C$15:$D$21,MATCH($B$49,$B$15:$B$21,0),1)&lt;$F$44,$F$44&lt;INDEX($C$15:$D$21,MATCH($B$49,$B$15:$B$21,0),2)),1,0)</f>
        <v>1</v>
      </c>
      <c r="G49" s="91">
        <f>IF(AND(INDEX($C$15:$D$21,MATCH($B$49,$B$15:$B$21,0),1)&lt;$G$44,$G$44&lt;INDEX($C$15:$D$21,MATCH($B$49,$B$15:$B$21,0),2)),1,0)</f>
        <v>1</v>
      </c>
      <c r="H49" s="64">
        <f>IF(AND(INDEX($C$15:$D$21,MATCH($B$49,$B$15:$B$21,0),1)&lt;$H$44,$H$44&lt;INDEX($C$15:$D$21,MATCH($B$49,$B$15:$B$21,0),2)),1,0)</f>
        <v>0</v>
      </c>
      <c r="I49" s="316"/>
      <c r="Q49" s="85"/>
    </row>
    <row r="50" spans="2:17" ht="15.75" thickBot="1" x14ac:dyDescent="0.3">
      <c r="B50" s="321" t="s">
        <v>111</v>
      </c>
      <c r="C50" s="322"/>
      <c r="D50" s="323"/>
      <c r="E50" s="65">
        <f>SUM(E45:H49)/20</f>
        <v>0.75</v>
      </c>
      <c r="F50" s="65"/>
      <c r="G50" s="65"/>
      <c r="H50" s="66"/>
      <c r="I50" s="317"/>
      <c r="Q50" s="85"/>
    </row>
    <row r="51" spans="2:17" x14ac:dyDescent="0.25">
      <c r="B51" s="298" t="s">
        <v>91</v>
      </c>
      <c r="C51" s="299"/>
      <c r="D51" s="300"/>
      <c r="E51" s="60">
        <f>IF(AND(INDEX($E$15:$F$21,MATCH($B$51,$B$15:$B$21,0),1)&lt;$E$44,$E$44&lt;INDEX($E$15:$F$21,MATCH($B$51,$B$15:$B$21,0),2)),1,0)</f>
        <v>0</v>
      </c>
      <c r="F51" s="61">
        <f>IF(AND(INDEX($E$15:$F$21,MATCH($B$51,$B$15:$B$21,0),1)&lt;$F$44,$F$44&lt;INDEX($E$15:$F$21,MATCH($B$51,$B$15:$B$21,0),2)),1,0)</f>
        <v>0</v>
      </c>
      <c r="G51" s="61">
        <f>IF(AND(INDEX($E$15:$F$21,MATCH($B$51,$B$15:$B$21,0),1)&lt;$G$44,$G$44&lt;INDEX($E$15:$F$21,MATCH($B$51,$B$15:$B$21,0),2)),1,0)</f>
        <v>0</v>
      </c>
      <c r="H51" s="62">
        <f>IF(AND(INDEX($E$15:$F$21,MATCH($B$51,$B$15:$B$21,0),1)&lt;$H$44,$H$44&lt;INDEX($E$15:$F$21,MATCH($B$51,$B$15:$B$21,0),2)),1,0)</f>
        <v>0</v>
      </c>
      <c r="I51" s="315" t="str">
        <f>E13</f>
        <v>&lt;Input Name&gt;</v>
      </c>
      <c r="Q51" s="85"/>
    </row>
    <row r="52" spans="2:17" x14ac:dyDescent="0.25">
      <c r="B52" s="301" t="s">
        <v>92</v>
      </c>
      <c r="C52" s="302"/>
      <c r="D52" s="303"/>
      <c r="E52" s="91">
        <f>IF(AND(INDEX($E$15:$F$21,MATCH($B$52,$B$15:$B$21,0),1)&lt;$E$44,$E$44&lt;INDEX($E$15:$F$21,MATCH($B$52,$B$15:$B$21,0),2)),1,0)</f>
        <v>0</v>
      </c>
      <c r="F52" s="63">
        <f>IF(AND(INDEX($E$15:$F$21,MATCH($B$52,$B$15:$B$21,0),1)&lt;$F$44,$F$44&lt;INDEX($E$15:$F$21,MATCH($B$52,$B$15:$B$21,0),2)),1,0)</f>
        <v>0</v>
      </c>
      <c r="G52" s="63">
        <f>IF(AND(INDEX($E$15:$F$21,MATCH($B$52,$B$15:$B$21,0),1)&lt;$G$44,$G$44&lt;INDEX($E$15:$F$21,MATCH($B$52,$B$15:$B$21,0),2)),1,0)</f>
        <v>0</v>
      </c>
      <c r="H52" s="64">
        <f>IF(AND(INDEX($E$15:$F$21,MATCH($B$52,$B$15:$B$21,0),1)&lt;$H$44,$H$44&lt;INDEX($E$15:$F$21,MATCH($B$52,$B$15:$B$21,0),2)),1,0)</f>
        <v>0</v>
      </c>
      <c r="I52" s="316"/>
      <c r="Q52" s="85"/>
    </row>
    <row r="53" spans="2:17" x14ac:dyDescent="0.25">
      <c r="B53" s="301" t="s">
        <v>93</v>
      </c>
      <c r="C53" s="302"/>
      <c r="D53" s="303"/>
      <c r="E53" s="91">
        <f>IF(AND(INDEX($E$15:$F$21,MATCH($B$53,$B$15:$B$21,0),1)&lt;$E$44,$E$44&lt;INDEX($E$15:$F$21,MATCH($B$53,$B$15:$B$21,0),2)),1,0)</f>
        <v>0</v>
      </c>
      <c r="F53" s="91">
        <f>IF(AND(INDEX($E$15:$F$21,MATCH($B$53,$B$15:$B$21,0),1)&lt;$F$44,$F$44&lt;INDEX($E$15:$F$21,MATCH($B$53,$B$15:$B$21,0),2)),1,0)</f>
        <v>0</v>
      </c>
      <c r="G53" s="91">
        <f>IF(AND(INDEX($E$15:$F$21,MATCH($B$53,$B$15:$B$21,0),1)&lt;$G$44,$G$44&lt;INDEX($E$15:$F$21,MATCH($B$53,$B$15:$B$21,0),2)),1,0)</f>
        <v>0</v>
      </c>
      <c r="H53" s="64">
        <f>IF(AND(INDEX($E$15:$F$21,MATCH($B$53,$B$15:$B$21,0),1)&lt;$H$44,$H$44&lt;INDEX($E$15:$F$21,MATCH($B$53,$B$15:$B$21,0),2)),1,0)</f>
        <v>0</v>
      </c>
      <c r="I53" s="316"/>
      <c r="Q53" s="85"/>
    </row>
    <row r="54" spans="2:17" x14ac:dyDescent="0.25">
      <c r="B54" s="292" t="s">
        <v>94</v>
      </c>
      <c r="C54" s="293"/>
      <c r="D54" s="294"/>
      <c r="E54" s="91">
        <f>IF(AND(INDEX($E$15:$F$21,MATCH($B$54,$B$15:$B$21,0),1)&lt;$E$44,$E$44&lt;INDEX($E$15:$F$21,MATCH($B$54,$B$15:$B$21,0),2)),1,0)</f>
        <v>0</v>
      </c>
      <c r="F54" s="91">
        <f>IF(AND(INDEX($E$15:$F$21,MATCH($B$54,$B$15:$B$21,0),1)&lt;$F$44,$F$44&lt;INDEX($E$15:$F$21,MATCH($B$54,$B$15:$B$21,0),2)),1,0)</f>
        <v>0</v>
      </c>
      <c r="G54" s="91">
        <f>IF(AND(INDEX($E$15:$F$21,MATCH($B$54,$B$15:$B$21,0),1)&lt;$G$44,$G$44&lt;INDEX($E$15:$F$21,MATCH($B$54,$B$15:$B$21,0),2)),1,0)</f>
        <v>0</v>
      </c>
      <c r="H54" s="64">
        <f>IF(AND(INDEX($E$15:$F$21,MATCH($B$54,$B$15:$B$21,0),1)&lt;$H$44,$H$44&lt;INDEX($E$15:$F$21,MATCH($B$54,$B$15:$B$21,0),2)),1,0)</f>
        <v>0</v>
      </c>
      <c r="I54" s="316"/>
      <c r="Q54" s="85"/>
    </row>
    <row r="55" spans="2:17" x14ac:dyDescent="0.25">
      <c r="B55" s="292" t="s">
        <v>95</v>
      </c>
      <c r="C55" s="293"/>
      <c r="D55" s="294"/>
      <c r="E55" s="91">
        <f>IF(AND(INDEX($E$15:$F$21,MATCH($B$55,$B$15:$B$21,0),1)&lt;$E$44,$E$44&lt;INDEX($E$15:$F$21,MATCH($B$55,$B$15:$B$21,0),2)),1,0)</f>
        <v>0</v>
      </c>
      <c r="F55" s="91">
        <f>IF(AND(INDEX($E$15:$F$21,MATCH($B$55,$B$15:$B$21,0),1)&lt;$F$44,$F$44&lt;INDEX($E$15:$F$21,MATCH($B$55,$B$15:$B$21,0),2)),1,0)</f>
        <v>0</v>
      </c>
      <c r="G55" s="91">
        <f>IF(AND(INDEX($E$15:$F$21,MATCH($B$55,$B$15:$B$21,0),1)&lt;$G$44,$G$44&lt;INDEX($E$15:$F$21,MATCH($B$55,$B$15:$B$21,0),2)),1,0)</f>
        <v>0</v>
      </c>
      <c r="H55" s="64">
        <f>IF(AND(INDEX($E$15:$F$21,MATCH($B$55,$B$15:$B$21,0),1)&lt;$H$44,$H$44&lt;INDEX($E$15:$F$21,MATCH($B$55,$B$15:$B$21,0),2)),1,0)</f>
        <v>0</v>
      </c>
      <c r="I55" s="316"/>
      <c r="Q55" s="85"/>
    </row>
    <row r="56" spans="2:17" x14ac:dyDescent="0.25">
      <c r="B56" s="312" t="s">
        <v>111</v>
      </c>
      <c r="C56" s="313"/>
      <c r="D56" s="314"/>
      <c r="E56" s="75">
        <f>SUM(E51:H55)/20</f>
        <v>0</v>
      </c>
      <c r="F56" s="76"/>
      <c r="G56" s="76"/>
      <c r="H56" s="77"/>
      <c r="I56" s="318"/>
      <c r="Q56" s="85"/>
    </row>
    <row r="57" spans="2:17" x14ac:dyDescent="0.25">
      <c r="Q57" s="85"/>
    </row>
    <row r="58" spans="2:17" x14ac:dyDescent="0.25">
      <c r="Q58" s="85"/>
    </row>
    <row r="59" spans="2:17" x14ac:dyDescent="0.25">
      <c r="Q59" s="85"/>
    </row>
    <row r="60" spans="2:17" x14ac:dyDescent="0.25">
      <c r="Q60" s="87"/>
    </row>
    <row r="61" spans="2:17" x14ac:dyDescent="0.25">
      <c r="Q61" s="85"/>
    </row>
    <row r="62" spans="2:17" x14ac:dyDescent="0.25">
      <c r="Q62" s="88"/>
    </row>
  </sheetData>
  <sheetProtection algorithmName="SHA-512" hashValue="fnAnSyBpQ813JKlve73xDIDJjaITCzPi/BNLoV+uSmJcrsUVB8dppfm9nj+RL0fWuOr8ub3TLMcvJYshLO8Izg==" saltValue="H//BxaBFWIrzkVMdwyXsAQ==" spinCount="100000" sheet="1" objects="1" scenarios="1"/>
  <protectedRanges>
    <protectedRange sqref="I6:M10 I33:I37" name="Range1"/>
  </protectedRanges>
  <mergeCells count="47">
    <mergeCell ref="B55:D55"/>
    <mergeCell ref="B56:D56"/>
    <mergeCell ref="I45:I50"/>
    <mergeCell ref="I51:I56"/>
    <mergeCell ref="C23:D23"/>
    <mergeCell ref="C24:D24"/>
    <mergeCell ref="E23:F23"/>
    <mergeCell ref="E24:F24"/>
    <mergeCell ref="E25:F25"/>
    <mergeCell ref="E26:F26"/>
    <mergeCell ref="C25:D25"/>
    <mergeCell ref="C26:D26"/>
    <mergeCell ref="B47:D47"/>
    <mergeCell ref="B48:D48"/>
    <mergeCell ref="B49:D49"/>
    <mergeCell ref="B50:D50"/>
    <mergeCell ref="E41:F41"/>
    <mergeCell ref="C41:D41"/>
    <mergeCell ref="C13:D13"/>
    <mergeCell ref="E13:F13"/>
    <mergeCell ref="B42:I42"/>
    <mergeCell ref="B32:D32"/>
    <mergeCell ref="B33:D33"/>
    <mergeCell ref="B54:D54"/>
    <mergeCell ref="B34:D34"/>
    <mergeCell ref="B35:D35"/>
    <mergeCell ref="B36:D36"/>
    <mergeCell ref="B37:D37"/>
    <mergeCell ref="B51:D51"/>
    <mergeCell ref="B52:D52"/>
    <mergeCell ref="B53:D53"/>
    <mergeCell ref="B45:D45"/>
    <mergeCell ref="B46:D46"/>
    <mergeCell ref="B30:D30"/>
    <mergeCell ref="E29:G29"/>
    <mergeCell ref="E30:G30"/>
    <mergeCell ref="C22:D22"/>
    <mergeCell ref="E22:F22"/>
    <mergeCell ref="I8:M8"/>
    <mergeCell ref="I9:M9"/>
    <mergeCell ref="I10:M10"/>
    <mergeCell ref="B2:M4"/>
    <mergeCell ref="B29:D29"/>
    <mergeCell ref="B6:F8"/>
    <mergeCell ref="B9:F11"/>
    <mergeCell ref="I6:M6"/>
    <mergeCell ref="I7:M7"/>
  </mergeCells>
  <conditionalFormatting sqref="I30">
    <cfRule type="cellIs" dxfId="7" priority="1" operator="equal">
      <formula>"Penelec - LCI"</formula>
    </cfRule>
  </conditionalFormatting>
  <dataValidations count="1">
    <dataValidation type="list" allowBlank="1" showInputMessage="1" showErrorMessage="1" sqref="I30" xr:uid="{B4AD4D18-750C-47E3-84FA-86AA9CD508D6}">
      <formula1>$P$11:$P$12</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zoomScaleNormal="100" workbookViewId="0">
      <selection activeCell="I10" sqref="I10"/>
    </sheetView>
  </sheetViews>
  <sheetFormatPr defaultRowHeight="15" x14ac:dyDescent="0.25"/>
  <cols>
    <col min="1" max="1" width="6" customWidth="1"/>
    <col min="2" max="2" width="31.140625" customWidth="1"/>
    <col min="3" max="3" width="16.5703125" customWidth="1"/>
    <col min="4" max="4" width="23.85546875" customWidth="1"/>
    <col min="5" max="5" width="14" customWidth="1"/>
    <col min="6" max="6" width="8.5703125" customWidth="1"/>
    <col min="7" max="7" width="26.42578125" customWidth="1"/>
    <col min="8" max="8" width="9.140625" customWidth="1"/>
    <col min="9" max="9" width="23.140625" customWidth="1"/>
    <col min="10" max="10" width="11.42578125" customWidth="1"/>
    <col min="11" max="11" width="9" hidden="1" customWidth="1"/>
    <col min="12" max="12" width="23.7109375" hidden="1" customWidth="1"/>
    <col min="13" max="13" width="11.42578125" hidden="1" customWidth="1"/>
    <col min="14" max="18" width="9.140625" hidden="1" customWidth="1"/>
    <col min="19" max="19" width="11.7109375" customWidth="1"/>
    <col min="20" max="20" width="16.85546875" customWidth="1"/>
    <col min="21" max="21" width="10.5703125" customWidth="1"/>
  </cols>
  <sheetData>
    <row r="1" spans="1:24" ht="15.75" thickBot="1" x14ac:dyDescent="0.3">
      <c r="A1" s="100"/>
      <c r="B1" s="100"/>
      <c r="C1" s="100"/>
      <c r="D1" s="100"/>
      <c r="E1" s="100"/>
      <c r="F1" s="100"/>
      <c r="G1" s="100"/>
      <c r="H1" s="100"/>
      <c r="I1" s="100"/>
      <c r="J1" s="100"/>
      <c r="K1" s="100"/>
      <c r="L1" s="100"/>
      <c r="M1" s="100"/>
      <c r="N1" s="100"/>
      <c r="O1" s="100"/>
      <c r="P1" s="100"/>
      <c r="Q1" s="100"/>
      <c r="R1" s="100"/>
      <c r="S1" s="100"/>
      <c r="T1" s="100"/>
      <c r="U1" s="100"/>
      <c r="V1" s="100"/>
      <c r="W1" s="100"/>
      <c r="X1" s="100"/>
    </row>
    <row r="2" spans="1:24" ht="19.5" thickBot="1" x14ac:dyDescent="0.35">
      <c r="A2" s="324" t="s">
        <v>112</v>
      </c>
      <c r="B2" s="325"/>
      <c r="C2" s="325"/>
      <c r="D2" s="325"/>
      <c r="E2" s="325"/>
      <c r="F2" s="326"/>
      <c r="G2" s="100"/>
      <c r="H2" s="100"/>
      <c r="I2" s="100"/>
      <c r="J2" s="100"/>
      <c r="K2" s="100"/>
      <c r="L2" s="100"/>
      <c r="M2" s="100"/>
      <c r="N2" s="100"/>
      <c r="O2" s="100"/>
      <c r="P2" s="100"/>
      <c r="Q2" s="100"/>
      <c r="R2" s="100"/>
      <c r="S2" s="100"/>
      <c r="T2" s="100"/>
      <c r="U2" s="100"/>
      <c r="V2" s="100"/>
      <c r="W2" s="100"/>
      <c r="X2" s="100"/>
    </row>
    <row r="3" spans="1:24" s="102" customFormat="1" ht="54" customHeight="1" x14ac:dyDescent="0.25">
      <c r="A3" s="327" t="s">
        <v>293</v>
      </c>
      <c r="B3" s="328"/>
      <c r="C3" s="328"/>
      <c r="D3" s="328"/>
      <c r="E3" s="328"/>
      <c r="F3" s="329"/>
      <c r="G3" s="101"/>
      <c r="H3" s="101"/>
      <c r="I3" s="101"/>
      <c r="J3" s="101"/>
      <c r="K3" s="101"/>
      <c r="L3" s="101"/>
      <c r="M3" s="101"/>
      <c r="N3" s="101"/>
      <c r="O3" s="101"/>
      <c r="P3" s="101"/>
      <c r="Q3" s="101"/>
      <c r="R3" s="101"/>
      <c r="S3" s="101"/>
      <c r="T3" s="101"/>
      <c r="U3" s="101"/>
      <c r="V3" s="101"/>
      <c r="W3" s="101"/>
      <c r="X3" s="101"/>
    </row>
    <row r="4" spans="1:24" s="102" customFormat="1" ht="37.15" customHeight="1" thickBot="1" x14ac:dyDescent="0.3">
      <c r="A4" s="330"/>
      <c r="B4" s="331"/>
      <c r="C4" s="331"/>
      <c r="D4" s="331"/>
      <c r="E4" s="331"/>
      <c r="F4" s="332"/>
      <c r="G4" s="101"/>
      <c r="H4" s="101"/>
      <c r="I4" s="101"/>
      <c r="J4" s="101"/>
      <c r="K4" s="101"/>
      <c r="L4" s="101"/>
      <c r="M4" s="101"/>
      <c r="N4" s="101"/>
      <c r="O4" s="101"/>
      <c r="P4" s="101"/>
      <c r="Q4" s="101"/>
      <c r="R4" s="101"/>
      <c r="S4" s="101"/>
      <c r="T4" s="101"/>
      <c r="U4" s="101"/>
      <c r="V4" s="101"/>
      <c r="W4" s="101"/>
      <c r="X4" s="101"/>
    </row>
    <row r="5" spans="1:24" ht="15.75" thickBot="1" x14ac:dyDescent="0.3">
      <c r="A5" s="100"/>
      <c r="B5" s="100"/>
      <c r="C5" s="100"/>
      <c r="D5" s="100"/>
      <c r="E5" s="100"/>
      <c r="F5" s="100"/>
      <c r="G5" s="100"/>
      <c r="H5" s="100"/>
      <c r="I5" s="100"/>
      <c r="J5" s="100"/>
      <c r="K5" s="100"/>
      <c r="L5" s="100"/>
      <c r="M5" s="100"/>
      <c r="N5" s="100"/>
      <c r="O5" s="100"/>
      <c r="P5" s="100"/>
      <c r="Q5" s="100"/>
      <c r="R5" s="100"/>
      <c r="S5" s="100"/>
      <c r="T5" s="100"/>
      <c r="U5" s="100"/>
      <c r="V5" s="100"/>
      <c r="W5" s="100"/>
      <c r="X5" s="100"/>
    </row>
    <row r="6" spans="1:24" s="102" customFormat="1" ht="20.100000000000001" customHeight="1" thickBot="1" x14ac:dyDescent="0.3">
      <c r="A6" s="336" t="s">
        <v>113</v>
      </c>
      <c r="B6" s="333"/>
      <c r="C6" s="333"/>
      <c r="D6" s="333" t="s">
        <v>114</v>
      </c>
      <c r="E6" s="333"/>
      <c r="F6" s="333"/>
      <c r="G6" s="333"/>
      <c r="H6" s="333"/>
      <c r="I6" s="333" t="s">
        <v>115</v>
      </c>
      <c r="J6" s="333"/>
      <c r="K6" s="333"/>
      <c r="L6" s="333"/>
      <c r="M6" s="333" t="s">
        <v>116</v>
      </c>
      <c r="N6" s="333"/>
      <c r="O6" s="333"/>
      <c r="P6" s="333"/>
      <c r="Q6" s="333"/>
      <c r="R6" s="333"/>
      <c r="S6" s="333" t="s">
        <v>117</v>
      </c>
      <c r="T6" s="334"/>
      <c r="U6" s="335"/>
      <c r="V6" s="101"/>
      <c r="W6" s="101"/>
      <c r="X6" s="101"/>
    </row>
    <row r="7" spans="1:24" s="108" customFormat="1" ht="30" customHeight="1" x14ac:dyDescent="0.25">
      <c r="A7" s="103" t="s">
        <v>118</v>
      </c>
      <c r="B7" s="104" t="s">
        <v>43</v>
      </c>
      <c r="C7" s="104" t="s">
        <v>45</v>
      </c>
      <c r="D7" s="104" t="s">
        <v>119</v>
      </c>
      <c r="E7" s="104" t="s">
        <v>120</v>
      </c>
      <c r="F7" s="104" t="s">
        <v>47</v>
      </c>
      <c r="G7" s="104" t="s">
        <v>121</v>
      </c>
      <c r="H7" s="104" t="s">
        <v>122</v>
      </c>
      <c r="I7" s="104" t="s">
        <v>123</v>
      </c>
      <c r="J7" s="104" t="s">
        <v>124</v>
      </c>
      <c r="K7" s="104" t="s">
        <v>47</v>
      </c>
      <c r="L7" s="104" t="s">
        <v>125</v>
      </c>
      <c r="M7" s="104" t="s">
        <v>126</v>
      </c>
      <c r="N7" s="104" t="s">
        <v>127</v>
      </c>
      <c r="O7" s="104" t="s">
        <v>302</v>
      </c>
      <c r="P7" s="104" t="s">
        <v>303</v>
      </c>
      <c r="Q7" s="104" t="s">
        <v>128</v>
      </c>
      <c r="R7" s="104" t="s">
        <v>111</v>
      </c>
      <c r="S7" s="104" t="s">
        <v>129</v>
      </c>
      <c r="T7" s="105" t="s">
        <v>130</v>
      </c>
      <c r="U7" s="106" t="s">
        <v>108</v>
      </c>
      <c r="V7" s="107"/>
      <c r="W7" s="107"/>
      <c r="X7" s="107"/>
    </row>
    <row r="8" spans="1:24" s="108" customFormat="1" ht="30" customHeight="1" x14ac:dyDescent="0.25">
      <c r="A8" s="109">
        <v>1</v>
      </c>
      <c r="B8" s="45"/>
      <c r="C8" s="45"/>
      <c r="D8" s="45"/>
      <c r="E8" s="45"/>
      <c r="F8" s="45"/>
      <c r="G8" s="116"/>
      <c r="H8" s="45"/>
      <c r="I8" s="45"/>
      <c r="J8" s="45"/>
      <c r="K8" s="111">
        <f>F8</f>
        <v>0</v>
      </c>
      <c r="L8" s="110" t="s">
        <v>132</v>
      </c>
      <c r="M8" s="112" t="str">
        <f>IFERROR(IF('Project Summary'!$E$25=0,INDEX(CMPHours[Hours],MATCH('Air Compressor'!$C$8,CMPHours[Building Schedule],0)),'Project Summary'!$E$25),"")</f>
        <v/>
      </c>
      <c r="N8" s="111">
        <v>0.9</v>
      </c>
      <c r="O8" s="111">
        <f>IFERROR(IF(F8&lt;40, VLOOKUP(G8, $B$21:$C$25, 2, FALSE), VLOOKUP(G8, $B$21:$D$25, 3, FALSE)), 0)</f>
        <v>0</v>
      </c>
      <c r="P8" s="111">
        <f>IFERROR(IF(K8&lt;40, $C$25, $D$25), 0)</f>
        <v>0.70499999999999996</v>
      </c>
      <c r="Q8" s="111">
        <f>O8-P8</f>
        <v>-0.70499999999999996</v>
      </c>
      <c r="R8" s="111" t="str">
        <f>IFERROR(IF('Project Summary'!$E$26=0,INDEX(CMPCF[%],MATCH('Air Compressor'!$C$8,CMPCF[Building Schedule],0)),'Project Summary'!$E$26),"")</f>
        <v/>
      </c>
      <c r="S8" s="113">
        <f>IFERROR(ROUND(N8*K8*M8*Q8,4),0)</f>
        <v>0</v>
      </c>
      <c r="T8" s="114">
        <f>IFERROR(ROUND((S8/M8),6),0)</f>
        <v>0</v>
      </c>
      <c r="U8" s="115">
        <f>IFERROR(ROUND((S8/M8)*R8,6),0)</f>
        <v>0</v>
      </c>
      <c r="V8" s="107"/>
      <c r="W8" s="107"/>
      <c r="X8" s="107"/>
    </row>
    <row r="9" spans="1:24" x14ac:dyDescent="0.25">
      <c r="A9" s="109">
        <v>2</v>
      </c>
      <c r="B9" s="45"/>
      <c r="C9" s="45"/>
      <c r="D9" s="45"/>
      <c r="E9" s="45"/>
      <c r="F9" s="45"/>
      <c r="G9" s="116"/>
      <c r="H9" s="45"/>
      <c r="I9" s="45"/>
      <c r="J9" s="45"/>
      <c r="K9" s="111">
        <f t="shared" ref="K9:K15" si="0">F9</f>
        <v>0</v>
      </c>
      <c r="L9" s="110" t="s">
        <v>132</v>
      </c>
      <c r="M9" s="112" t="str">
        <f>IFERROR(IF('Project Summary'!$E$25=0,INDEX(CMPHours[Hours],MATCH('Air Compressor'!$C$9,CMPHours[Building Schedule],0)),'Project Summary'!$E$25),"")</f>
        <v/>
      </c>
      <c r="N9" s="111">
        <v>0.9</v>
      </c>
      <c r="O9" s="111">
        <f t="shared" ref="O9:O11" si="1">IFERROR(IF(F9&lt;40, VLOOKUP(G9, $B$21:$C$25, 2, FALSE), VLOOKUP(G9, $B$21:$D$25, 3, FALSE)), 0)</f>
        <v>0</v>
      </c>
      <c r="P9" s="111">
        <f t="shared" ref="P9:P11" si="2">IFERROR(IF(K9&lt;40, $C$25, $D$25), 0)</f>
        <v>0.70499999999999996</v>
      </c>
      <c r="Q9" s="111">
        <f t="shared" ref="Q9:Q11" si="3">O9-P9</f>
        <v>-0.70499999999999996</v>
      </c>
      <c r="R9" s="111" t="str">
        <f>IFERROR(IF('Project Summary'!$E$26=0,INDEX(CMPCF[%],MATCH('Air Compressor'!$C$9,CMPCF[Building Schedule],0)),'Project Summary'!$E$26),"")</f>
        <v/>
      </c>
      <c r="S9" s="113">
        <f t="shared" ref="S9:S15" si="4">IFERROR(ROUND(N9*K9*M9*Q9,4),0)</f>
        <v>0</v>
      </c>
      <c r="T9" s="114">
        <f t="shared" ref="T9:T15" si="5">IFERROR(ROUND((S9/M9),6),0)</f>
        <v>0</v>
      </c>
      <c r="U9" s="115">
        <f t="shared" ref="U9:U15" si="6">IFERROR(ROUND((S9/M9)*R9,6),0)</f>
        <v>0</v>
      </c>
      <c r="V9" s="100"/>
      <c r="W9" s="100"/>
      <c r="X9" s="100"/>
    </row>
    <row r="10" spans="1:24" x14ac:dyDescent="0.25">
      <c r="A10" s="109">
        <v>3</v>
      </c>
      <c r="B10" s="45"/>
      <c r="C10" s="45"/>
      <c r="D10" s="45"/>
      <c r="E10" s="45"/>
      <c r="F10" s="45"/>
      <c r="G10" s="116"/>
      <c r="H10" s="45"/>
      <c r="I10" s="45"/>
      <c r="J10" s="45"/>
      <c r="K10" s="111">
        <f t="shared" si="0"/>
        <v>0</v>
      </c>
      <c r="L10" s="110" t="s">
        <v>132</v>
      </c>
      <c r="M10" s="112" t="str">
        <f>IFERROR(IF('Project Summary'!$E$25=0,INDEX(CMPHours[Hours],MATCH('Air Compressor'!$C$10,CMPHours[Building Schedule],0)),'Project Summary'!$E$25),"")</f>
        <v/>
      </c>
      <c r="N10" s="111">
        <v>0.9</v>
      </c>
      <c r="O10" s="111">
        <f t="shared" si="1"/>
        <v>0</v>
      </c>
      <c r="P10" s="111">
        <f t="shared" si="2"/>
        <v>0.70499999999999996</v>
      </c>
      <c r="Q10" s="111">
        <f t="shared" si="3"/>
        <v>-0.70499999999999996</v>
      </c>
      <c r="R10" s="111" t="str">
        <f>IFERROR(IF('Project Summary'!$E$26=0,INDEX(CMPCF[%],MATCH('Air Compressor'!$C$10,CMPCF[Building Schedule],0)),'Project Summary'!$E$26),"")</f>
        <v/>
      </c>
      <c r="S10" s="113">
        <f t="shared" si="4"/>
        <v>0</v>
      </c>
      <c r="T10" s="114">
        <f t="shared" si="5"/>
        <v>0</v>
      </c>
      <c r="U10" s="115">
        <f t="shared" si="6"/>
        <v>0</v>
      </c>
      <c r="V10" s="100"/>
      <c r="W10" s="100"/>
      <c r="X10" s="100"/>
    </row>
    <row r="11" spans="1:24" x14ac:dyDescent="0.25">
      <c r="A11" s="109">
        <v>4</v>
      </c>
      <c r="B11" s="45"/>
      <c r="C11" s="45"/>
      <c r="D11" s="45"/>
      <c r="E11" s="45"/>
      <c r="F11" s="45"/>
      <c r="G11" s="116"/>
      <c r="H11" s="45"/>
      <c r="I11" s="45"/>
      <c r="J11" s="45"/>
      <c r="K11" s="111">
        <f t="shared" si="0"/>
        <v>0</v>
      </c>
      <c r="L11" s="110" t="s">
        <v>132</v>
      </c>
      <c r="M11" s="112" t="str">
        <f>IFERROR(IF('Project Summary'!$E$25=0,INDEX(CMPHours[Hours],MATCH('Air Compressor'!$C$11,CMPHours[Building Schedule],0)),'Project Summary'!$E$25),"")</f>
        <v/>
      </c>
      <c r="N11" s="111">
        <v>0.9</v>
      </c>
      <c r="O11" s="111">
        <f t="shared" si="1"/>
        <v>0</v>
      </c>
      <c r="P11" s="111">
        <f t="shared" si="2"/>
        <v>0.70499999999999996</v>
      </c>
      <c r="Q11" s="111">
        <f t="shared" si="3"/>
        <v>-0.70499999999999996</v>
      </c>
      <c r="R11" s="111" t="str">
        <f>IFERROR(IF('Project Summary'!$E$26=0,INDEX(CMPCF[%],MATCH('Air Compressor'!$C$11,CMPCF[Building Schedule],0)),'Project Summary'!$E$26),"")</f>
        <v/>
      </c>
      <c r="S11" s="113">
        <f t="shared" si="4"/>
        <v>0</v>
      </c>
      <c r="T11" s="114">
        <f t="shared" si="5"/>
        <v>0</v>
      </c>
      <c r="U11" s="115">
        <f t="shared" si="6"/>
        <v>0</v>
      </c>
      <c r="V11" s="100"/>
      <c r="W11" s="100"/>
      <c r="X11" s="100"/>
    </row>
    <row r="12" spans="1:24" x14ac:dyDescent="0.25">
      <c r="A12" s="109">
        <v>5</v>
      </c>
      <c r="B12" s="45"/>
      <c r="C12" s="45"/>
      <c r="D12" s="45"/>
      <c r="E12" s="45"/>
      <c r="F12" s="45"/>
      <c r="G12" s="116"/>
      <c r="H12" s="45"/>
      <c r="I12" s="45"/>
      <c r="J12" s="45"/>
      <c r="K12" s="111">
        <f t="shared" si="0"/>
        <v>0</v>
      </c>
      <c r="L12" s="110" t="s">
        <v>132</v>
      </c>
      <c r="M12" s="112" t="str">
        <f>IFERROR(IF('Project Summary'!$E$25=0,INDEX(CMPHours[Hours],MATCH('Air Compressor'!$C$12,CMPHours[Building Schedule],0)),'Project Summary'!$E$25),"")</f>
        <v/>
      </c>
      <c r="N12" s="111">
        <v>0.9</v>
      </c>
      <c r="O12" s="111">
        <f t="shared" ref="O12:O14" si="7">IFERROR(IF(F12&lt;40, VLOOKUP(G12, $B$21:$C$25, 2, FALSE), VLOOKUP(G12, $B$21:$D$25, 3, FALSE)), 0)</f>
        <v>0</v>
      </c>
      <c r="P12" s="111">
        <f t="shared" ref="P12:P14" si="8">IFERROR(IF(K12&lt;40, $C$25, $D$25), 0)</f>
        <v>0.70499999999999996</v>
      </c>
      <c r="Q12" s="111">
        <f t="shared" ref="Q12:Q14" si="9">O12-P12</f>
        <v>-0.70499999999999996</v>
      </c>
      <c r="R12" s="111" t="str">
        <f>IFERROR(IF('Project Summary'!$E$26=0,INDEX(CMPCF[%],MATCH('Air Compressor'!$C$12,CMPCF[Building Schedule],0)),'Project Summary'!$E$26),"")</f>
        <v/>
      </c>
      <c r="S12" s="113">
        <f t="shared" si="4"/>
        <v>0</v>
      </c>
      <c r="T12" s="114">
        <f t="shared" si="5"/>
        <v>0</v>
      </c>
      <c r="U12" s="115">
        <f t="shared" si="6"/>
        <v>0</v>
      </c>
      <c r="V12" s="100"/>
      <c r="W12" s="100"/>
      <c r="X12" s="100"/>
    </row>
    <row r="13" spans="1:24" x14ac:dyDescent="0.25">
      <c r="A13" s="109">
        <v>6</v>
      </c>
      <c r="B13" s="45"/>
      <c r="C13" s="45"/>
      <c r="D13" s="45"/>
      <c r="E13" s="45"/>
      <c r="F13" s="45"/>
      <c r="G13" s="116"/>
      <c r="H13" s="45"/>
      <c r="I13" s="45"/>
      <c r="J13" s="45"/>
      <c r="K13" s="111">
        <f t="shared" si="0"/>
        <v>0</v>
      </c>
      <c r="L13" s="110" t="s">
        <v>132</v>
      </c>
      <c r="M13" s="112" t="str">
        <f>IFERROR(IF('Project Summary'!$E$25=0,INDEX(CMPHours[Hours],MATCH('Air Compressor'!$C$13,CMPHours[Building Schedule],0)),'Project Summary'!$E$25),"")</f>
        <v/>
      </c>
      <c r="N13" s="111">
        <v>0.9</v>
      </c>
      <c r="O13" s="111">
        <f t="shared" si="7"/>
        <v>0</v>
      </c>
      <c r="P13" s="111">
        <f t="shared" si="8"/>
        <v>0.70499999999999996</v>
      </c>
      <c r="Q13" s="111">
        <f t="shared" si="9"/>
        <v>-0.70499999999999996</v>
      </c>
      <c r="R13" s="111" t="str">
        <f>IFERROR(IF('Project Summary'!$E$26=0,INDEX(CMPCF[%],MATCH('Air Compressor'!$C$13,CMPCF[Building Schedule],0)),'Project Summary'!$E$26),"")</f>
        <v/>
      </c>
      <c r="S13" s="113">
        <f t="shared" si="4"/>
        <v>0</v>
      </c>
      <c r="T13" s="114">
        <f t="shared" si="5"/>
        <v>0</v>
      </c>
      <c r="U13" s="115">
        <f t="shared" si="6"/>
        <v>0</v>
      </c>
      <c r="V13" s="100"/>
      <c r="W13" s="100"/>
      <c r="X13" s="100"/>
    </row>
    <row r="14" spans="1:24" x14ac:dyDescent="0.25">
      <c r="A14" s="109">
        <v>7</v>
      </c>
      <c r="B14" s="45"/>
      <c r="C14" s="45"/>
      <c r="D14" s="45"/>
      <c r="E14" s="45"/>
      <c r="F14" s="45"/>
      <c r="G14" s="116"/>
      <c r="H14" s="45"/>
      <c r="I14" s="45"/>
      <c r="J14" s="45"/>
      <c r="K14" s="111">
        <f t="shared" si="0"/>
        <v>0</v>
      </c>
      <c r="L14" s="110" t="s">
        <v>132</v>
      </c>
      <c r="M14" s="112" t="str">
        <f>IFERROR(IF('Project Summary'!$E$25=0,INDEX(CMPHours[Hours],MATCH('Air Compressor'!$C$14,CMPHours[Building Schedule],0)),'Project Summary'!$E$25),"")</f>
        <v/>
      </c>
      <c r="N14" s="111">
        <v>0.9</v>
      </c>
      <c r="O14" s="111">
        <f t="shared" si="7"/>
        <v>0</v>
      </c>
      <c r="P14" s="111">
        <f t="shared" si="8"/>
        <v>0.70499999999999996</v>
      </c>
      <c r="Q14" s="111">
        <f t="shared" si="9"/>
        <v>-0.70499999999999996</v>
      </c>
      <c r="R14" s="111" t="str">
        <f>IFERROR(IF('Project Summary'!$E$26=0,INDEX(CMPCF[%],MATCH('Air Compressor'!$C$14,CMPCF[Building Schedule],0)),'Project Summary'!$E$26),"")</f>
        <v/>
      </c>
      <c r="S14" s="113">
        <f t="shared" si="4"/>
        <v>0</v>
      </c>
      <c r="T14" s="114">
        <f t="shared" si="5"/>
        <v>0</v>
      </c>
      <c r="U14" s="115">
        <f t="shared" si="6"/>
        <v>0</v>
      </c>
      <c r="V14" s="100"/>
      <c r="W14" s="100"/>
      <c r="X14" s="100"/>
    </row>
    <row r="15" spans="1:24" x14ac:dyDescent="0.25">
      <c r="A15" s="109">
        <v>8</v>
      </c>
      <c r="B15" s="45"/>
      <c r="C15" s="45"/>
      <c r="D15" s="45"/>
      <c r="E15" s="45"/>
      <c r="F15" s="45"/>
      <c r="G15" s="116"/>
      <c r="H15" s="45"/>
      <c r="I15" s="45"/>
      <c r="J15" s="45"/>
      <c r="K15" s="111">
        <f t="shared" si="0"/>
        <v>0</v>
      </c>
      <c r="L15" s="110" t="s">
        <v>132</v>
      </c>
      <c r="M15" s="112" t="str">
        <f>IFERROR(IF('Project Summary'!$E$25=0,INDEX(CMPHours[Hours],MATCH('Air Compressor'!$C$15,CMPHours[Building Schedule],0)),'Project Summary'!$E$25),"")</f>
        <v/>
      </c>
      <c r="N15" s="111">
        <v>0.9</v>
      </c>
      <c r="O15" s="111">
        <f>IFERROR(IF(F15&lt;40, VLOOKUP(G15, $B$21:$C$25, 2, FALSE), VLOOKUP(G15, $B$21:$D$25, 3, FALSE)), 0)</f>
        <v>0</v>
      </c>
      <c r="P15" s="111">
        <f>IFERROR(IF(K15&lt;40, $C$25, $D$25), 0)</f>
        <v>0.70499999999999996</v>
      </c>
      <c r="Q15" s="111">
        <f>O15-P15</f>
        <v>-0.70499999999999996</v>
      </c>
      <c r="R15" s="111" t="str">
        <f>IFERROR(IF('Project Summary'!$E$26=0,INDEX(CMPCF[%],MATCH('Air Compressor'!$C$15,CMPCF[Building Schedule],0)),'Project Summary'!$E$26),"")</f>
        <v/>
      </c>
      <c r="S15" s="113">
        <f t="shared" si="4"/>
        <v>0</v>
      </c>
      <c r="T15" s="114">
        <f t="shared" si="5"/>
        <v>0</v>
      </c>
      <c r="U15" s="115">
        <f t="shared" si="6"/>
        <v>0</v>
      </c>
      <c r="V15" s="100"/>
      <c r="W15" s="100"/>
      <c r="X15" s="100"/>
    </row>
    <row r="16" spans="1:24" x14ac:dyDescent="0.2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x14ac:dyDescent="0.2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20" spans="1:24" hidden="1" x14ac:dyDescent="0.25">
      <c r="B20" t="s">
        <v>298</v>
      </c>
      <c r="C20" t="s">
        <v>299</v>
      </c>
      <c r="D20" t="s">
        <v>300</v>
      </c>
    </row>
    <row r="21" spans="1:24" hidden="1" x14ac:dyDescent="0.25">
      <c r="B21" t="s">
        <v>294</v>
      </c>
      <c r="C21">
        <v>0.89</v>
      </c>
      <c r="D21">
        <v>0.86299999999999999</v>
      </c>
    </row>
    <row r="22" spans="1:24" hidden="1" x14ac:dyDescent="0.25">
      <c r="B22" t="s">
        <v>295</v>
      </c>
      <c r="C22">
        <v>0.90900000000000003</v>
      </c>
      <c r="D22">
        <v>0.88700000000000001</v>
      </c>
    </row>
    <row r="23" spans="1:24" hidden="1" x14ac:dyDescent="0.25">
      <c r="B23" t="s">
        <v>296</v>
      </c>
      <c r="C23">
        <v>0.83099999999999996</v>
      </c>
      <c r="D23">
        <v>0.81100000000000005</v>
      </c>
    </row>
    <row r="24" spans="1:24" hidden="1" x14ac:dyDescent="0.25">
      <c r="B24" t="s">
        <v>297</v>
      </c>
      <c r="C24">
        <v>0.80600000000000005</v>
      </c>
      <c r="D24">
        <v>0.78600000000000003</v>
      </c>
    </row>
    <row r="25" spans="1:24" hidden="1" x14ac:dyDescent="0.25">
      <c r="B25" t="s">
        <v>301</v>
      </c>
      <c r="C25">
        <v>0.70499999999999996</v>
      </c>
      <c r="D25">
        <v>0.65800000000000003</v>
      </c>
    </row>
  </sheetData>
  <sheetProtection algorithmName="SHA-512" hashValue="4y4rUhuX78WSeIWfAluFiTQpRuOPBi5rzNDfdoNO99pbhL3YP7zcvRkUGw6pSQNfFivJeesTdBk9vgVdgk44Kg==" saltValue="vatJlRkAO5849/4EviW+/w==" spinCount="100000" sheet="1" selectLockedCells="1"/>
  <mergeCells count="7">
    <mergeCell ref="A2:F2"/>
    <mergeCell ref="A3:F4"/>
    <mergeCell ref="S6:U6"/>
    <mergeCell ref="A6:C6"/>
    <mergeCell ref="D6:H6"/>
    <mergeCell ref="I6:L6"/>
    <mergeCell ref="M6:R6"/>
  </mergeCells>
  <dataValidations count="2">
    <dataValidation type="whole" allowBlank="1" showInputMessage="1" showErrorMessage="1" errorTitle="Invalid HP" error="HP must be between 0 and 40" sqref="F8:F15" xr:uid="{00000000-0002-0000-0200-000000000000}">
      <formula1>0</formula1>
      <formula2>200</formula2>
    </dataValidation>
    <dataValidation type="list" allowBlank="1" showInputMessage="1" showErrorMessage="1" sqref="G8:G15" xr:uid="{2F9C4766-2ED3-4E7E-A3A1-C2DDA4D288AC}">
      <formula1>$B$21:$B$24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 Tables'!$A$11:$A$14</xm:f>
          </x14:formula1>
          <xm:sqref>C8:C15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topLeftCell="A3" workbookViewId="0">
      <selection activeCell="B8" sqref="B8"/>
    </sheetView>
  </sheetViews>
  <sheetFormatPr defaultRowHeight="15" x14ac:dyDescent="0.25"/>
  <cols>
    <col min="1" max="1" width="6.7109375" customWidth="1"/>
    <col min="2" max="2" width="27.5703125" customWidth="1"/>
    <col min="3" max="3" width="18.85546875" customWidth="1"/>
    <col min="4" max="4" width="14.28515625" bestFit="1" customWidth="1"/>
    <col min="5" max="5" width="21.42578125" customWidth="1"/>
    <col min="6" max="6" width="19" customWidth="1"/>
    <col min="7" max="7" width="25.5703125" customWidth="1"/>
    <col min="8" max="8" width="29.140625" customWidth="1"/>
    <col min="9" max="9" width="10" hidden="1" customWidth="1"/>
    <col min="10" max="10" width="11.7109375" hidden="1" customWidth="1"/>
    <col min="11" max="11" width="11.7109375" customWidth="1"/>
    <col min="12" max="12" width="10.5703125" customWidth="1"/>
    <col min="13" max="13" width="11.7109375" customWidth="1"/>
  </cols>
  <sheetData>
    <row r="1" spans="1:15" ht="15.75" thickBot="1" x14ac:dyDescent="0.3">
      <c r="A1" s="34"/>
      <c r="B1" s="34"/>
      <c r="C1" s="34"/>
      <c r="D1" s="34"/>
      <c r="E1" s="34"/>
      <c r="F1" s="34"/>
      <c r="G1" s="34"/>
      <c r="H1" s="34"/>
      <c r="I1" s="34"/>
      <c r="J1" s="34"/>
      <c r="K1" s="34"/>
      <c r="L1" s="34"/>
      <c r="M1" s="34"/>
      <c r="N1" s="34"/>
      <c r="O1" s="34"/>
    </row>
    <row r="2" spans="1:15" ht="19.5" thickBot="1" x14ac:dyDescent="0.35">
      <c r="A2" s="324" t="s">
        <v>133</v>
      </c>
      <c r="B2" s="325"/>
      <c r="C2" s="325"/>
      <c r="D2" s="326"/>
      <c r="E2" s="34"/>
      <c r="F2" s="34"/>
      <c r="G2" s="34"/>
      <c r="H2" s="34"/>
      <c r="I2" s="34"/>
      <c r="J2" s="34"/>
      <c r="K2" s="34"/>
      <c r="L2" s="34"/>
      <c r="M2" s="34"/>
      <c r="N2" s="34"/>
      <c r="O2" s="34"/>
    </row>
    <row r="3" spans="1:15" s="102" customFormat="1" ht="58.9" customHeight="1" x14ac:dyDescent="0.25">
      <c r="A3" s="340" t="s">
        <v>134</v>
      </c>
      <c r="B3" s="341"/>
      <c r="C3" s="341"/>
      <c r="D3" s="342"/>
      <c r="E3" s="117"/>
      <c r="F3" s="117"/>
      <c r="G3" s="117"/>
      <c r="H3" s="117"/>
      <c r="I3" s="117"/>
      <c r="J3" s="117"/>
      <c r="K3" s="117"/>
      <c r="L3" s="117"/>
      <c r="M3" s="117"/>
      <c r="N3" s="117"/>
      <c r="O3" s="117"/>
    </row>
    <row r="4" spans="1:15" s="102" customFormat="1" ht="58.9" customHeight="1" thickBot="1" x14ac:dyDescent="0.3">
      <c r="A4" s="343"/>
      <c r="B4" s="344"/>
      <c r="C4" s="344"/>
      <c r="D4" s="345"/>
      <c r="E4" s="117"/>
      <c r="F4" s="117"/>
      <c r="G4" s="117"/>
      <c r="H4" s="117"/>
      <c r="I4" s="117"/>
      <c r="J4" s="117"/>
      <c r="K4" s="117"/>
      <c r="L4" s="117"/>
      <c r="M4" s="117"/>
      <c r="N4" s="117"/>
      <c r="O4" s="117"/>
    </row>
    <row r="5" spans="1:15" ht="15.75" thickBot="1" x14ac:dyDescent="0.3">
      <c r="A5" s="34"/>
      <c r="B5" s="34"/>
      <c r="C5" s="34"/>
      <c r="D5" s="34"/>
      <c r="E5" s="34"/>
      <c r="F5" s="34"/>
      <c r="G5" s="34"/>
      <c r="H5" s="34"/>
      <c r="I5" s="34"/>
      <c r="J5" s="34"/>
      <c r="K5" s="34"/>
      <c r="L5" s="34"/>
      <c r="M5" s="34"/>
      <c r="N5" s="34"/>
      <c r="O5" s="34"/>
    </row>
    <row r="6" spans="1:15" s="119" customFormat="1" ht="20.100000000000001" customHeight="1" x14ac:dyDescent="0.25">
      <c r="A6" s="337" t="s">
        <v>113</v>
      </c>
      <c r="B6" s="338"/>
      <c r="C6" s="338"/>
      <c r="D6" s="338" t="s">
        <v>135</v>
      </c>
      <c r="E6" s="338"/>
      <c r="F6" s="338"/>
      <c r="G6" s="338"/>
      <c r="H6" s="338"/>
      <c r="I6" s="338" t="s">
        <v>136</v>
      </c>
      <c r="J6" s="338"/>
      <c r="K6" s="338"/>
      <c r="L6" s="338"/>
      <c r="M6" s="339"/>
      <c r="N6" s="118"/>
      <c r="O6" s="118"/>
    </row>
    <row r="7" spans="1:15" s="108" customFormat="1" ht="49.5" customHeight="1" x14ac:dyDescent="0.25">
      <c r="A7" s="120" t="s">
        <v>118</v>
      </c>
      <c r="B7" s="121" t="s">
        <v>43</v>
      </c>
      <c r="C7" s="121" t="s">
        <v>45</v>
      </c>
      <c r="D7" s="121" t="s">
        <v>137</v>
      </c>
      <c r="E7" s="121" t="s">
        <v>138</v>
      </c>
      <c r="F7" s="121" t="s">
        <v>139</v>
      </c>
      <c r="G7" s="121" t="s">
        <v>140</v>
      </c>
      <c r="H7" s="121" t="s">
        <v>141</v>
      </c>
      <c r="I7" s="121" t="s">
        <v>142</v>
      </c>
      <c r="J7" s="121" t="s">
        <v>102</v>
      </c>
      <c r="K7" s="121" t="s">
        <v>143</v>
      </c>
      <c r="L7" s="121" t="s">
        <v>144</v>
      </c>
      <c r="M7" s="122" t="s">
        <v>145</v>
      </c>
      <c r="N7" s="123"/>
      <c r="O7" s="123"/>
    </row>
    <row r="8" spans="1:15" x14ac:dyDescent="0.25">
      <c r="A8" s="124">
        <v>1</v>
      </c>
      <c r="B8" s="45"/>
      <c r="C8" s="45"/>
      <c r="D8" s="45"/>
      <c r="E8" s="110">
        <v>4</v>
      </c>
      <c r="F8" s="110">
        <v>8.6999999999999994E-3</v>
      </c>
      <c r="G8" s="110">
        <v>0.92500000000000004</v>
      </c>
      <c r="H8" s="110">
        <v>0.65</v>
      </c>
      <c r="I8" s="125" t="e">
        <f>IF('Project Summary'!$E$25=0,INDEX(CMPHours[Hours],MATCH('Cycling Dryer'!C8,CMPHours[Building Schedule],0)),'Project Summary'!$E$25)</f>
        <v>#N/A</v>
      </c>
      <c r="J8" s="125" t="e">
        <f>IF('Project Summary'!$E$26=0,INDEX(CMPCF[%],MATCH('Cycling Dryer'!C8,CMPCF[Building Schedule],0)),'Project Summary'!$E$26)</f>
        <v>#N/A</v>
      </c>
      <c r="K8" s="125">
        <f>IFERROR(ROUND((M8/I8),6),0)</f>
        <v>0</v>
      </c>
      <c r="L8" s="126">
        <f>IFERROR(ROUND((M8/I8)*J8,6),0)</f>
        <v>0</v>
      </c>
      <c r="M8" s="127">
        <f>IFERROR(ROUND((D8*E8*F8*G8*(1-H8)*I8),4),0)</f>
        <v>0</v>
      </c>
      <c r="N8" s="34"/>
      <c r="O8" s="34"/>
    </row>
    <row r="9" spans="1:15" x14ac:dyDescent="0.25">
      <c r="A9" s="124">
        <v>2</v>
      </c>
      <c r="B9" s="45"/>
      <c r="C9" s="45"/>
      <c r="D9" s="45"/>
      <c r="E9" s="110">
        <v>4</v>
      </c>
      <c r="F9" s="110">
        <v>8.6999999999999994E-3</v>
      </c>
      <c r="G9" s="110">
        <v>0.92500000000000004</v>
      </c>
      <c r="H9" s="110">
        <v>0.65</v>
      </c>
      <c r="I9" s="125" t="e">
        <f>IF('Project Summary'!$E$25=0,INDEX(CMPHours[Hours],MATCH('Cycling Dryer'!C9,CMPHours[Building Schedule],0)),'Project Summary'!$E$25)</f>
        <v>#N/A</v>
      </c>
      <c r="J9" s="125" t="e">
        <f>IF('Project Summary'!$E$26=0,INDEX(CMPCF[%],MATCH('Cycling Dryer'!C9,CMPCF[Building Schedule],0)),'Project Summary'!$E$26)</f>
        <v>#N/A</v>
      </c>
      <c r="K9" s="125">
        <f t="shared" ref="K9:K17" si="0">IFERROR(ROUND((M9/I9),6),0)</f>
        <v>0</v>
      </c>
      <c r="L9" s="126">
        <f t="shared" ref="L9:L17" si="1">IFERROR(ROUND((M9/I9)*J9,6),0)</f>
        <v>0</v>
      </c>
      <c r="M9" s="127">
        <f t="shared" ref="M9:M17" si="2">IFERROR(ROUND((D9*E9*F9*G9*(1-H9)*I9),4),0)</f>
        <v>0</v>
      </c>
      <c r="N9" s="34"/>
      <c r="O9" s="34"/>
    </row>
    <row r="10" spans="1:15" x14ac:dyDescent="0.25">
      <c r="A10" s="124">
        <v>3</v>
      </c>
      <c r="B10" s="45"/>
      <c r="C10" s="45"/>
      <c r="D10" s="45"/>
      <c r="E10" s="110">
        <v>4</v>
      </c>
      <c r="F10" s="110">
        <v>8.6999999999999994E-3</v>
      </c>
      <c r="G10" s="110">
        <v>0.92500000000000004</v>
      </c>
      <c r="H10" s="110">
        <v>0.65</v>
      </c>
      <c r="I10" s="125" t="e">
        <f>IF('Project Summary'!$E$25=0,INDEX(CMPHours[Hours],MATCH('Cycling Dryer'!C10,CMPHours[Building Schedule],0)),'Project Summary'!$E$25)</f>
        <v>#N/A</v>
      </c>
      <c r="J10" s="125" t="e">
        <f>IF('Project Summary'!$E$26=0,INDEX(CMPCF[%],MATCH('Cycling Dryer'!C10,CMPCF[Building Schedule],0)),'Project Summary'!$E$26)</f>
        <v>#N/A</v>
      </c>
      <c r="K10" s="125">
        <f t="shared" si="0"/>
        <v>0</v>
      </c>
      <c r="L10" s="126">
        <f t="shared" si="1"/>
        <v>0</v>
      </c>
      <c r="M10" s="127">
        <f t="shared" si="2"/>
        <v>0</v>
      </c>
      <c r="N10" s="34"/>
      <c r="O10" s="34"/>
    </row>
    <row r="11" spans="1:15" x14ac:dyDescent="0.25">
      <c r="A11" s="124">
        <v>4</v>
      </c>
      <c r="B11" s="45"/>
      <c r="C11" s="45"/>
      <c r="D11" s="45"/>
      <c r="E11" s="110">
        <v>4</v>
      </c>
      <c r="F11" s="110">
        <v>8.6999999999999994E-3</v>
      </c>
      <c r="G11" s="110">
        <v>0.92500000000000004</v>
      </c>
      <c r="H11" s="110">
        <v>0.65</v>
      </c>
      <c r="I11" s="125" t="e">
        <f>IF('Project Summary'!$E$25=0,INDEX(CMPHours[Hours],MATCH('Cycling Dryer'!C11,CMPHours[Building Schedule],0)),'Project Summary'!$E$25)</f>
        <v>#N/A</v>
      </c>
      <c r="J11" s="125" t="e">
        <f>IF('Project Summary'!$E$26=0,INDEX(CMPCF[%],MATCH('Cycling Dryer'!C11,CMPCF[Building Schedule],0)),'Project Summary'!$E$26)</f>
        <v>#N/A</v>
      </c>
      <c r="K11" s="125">
        <f t="shared" si="0"/>
        <v>0</v>
      </c>
      <c r="L11" s="126">
        <f t="shared" si="1"/>
        <v>0</v>
      </c>
      <c r="M11" s="127">
        <f t="shared" si="2"/>
        <v>0</v>
      </c>
      <c r="N11" s="34"/>
      <c r="O11" s="34"/>
    </row>
    <row r="12" spans="1:15" x14ac:dyDescent="0.25">
      <c r="A12" s="124">
        <v>5</v>
      </c>
      <c r="B12" s="45"/>
      <c r="C12" s="45"/>
      <c r="D12" s="45"/>
      <c r="E12" s="110">
        <v>4</v>
      </c>
      <c r="F12" s="110">
        <v>8.6999999999999994E-3</v>
      </c>
      <c r="G12" s="110">
        <v>0.92500000000000004</v>
      </c>
      <c r="H12" s="110">
        <v>0.65</v>
      </c>
      <c r="I12" s="125" t="e">
        <f>IF('Project Summary'!$E$25=0,INDEX(CMPHours[Hours],MATCH('Cycling Dryer'!C12,CMPHours[Building Schedule],0)),'Project Summary'!$E$25)</f>
        <v>#N/A</v>
      </c>
      <c r="J12" s="125" t="e">
        <f>IF('Project Summary'!$E$26=0,INDEX(CMPCF[%],MATCH('Cycling Dryer'!C12,CMPCF[Building Schedule],0)),'Project Summary'!$E$26)</f>
        <v>#N/A</v>
      </c>
      <c r="K12" s="125">
        <f t="shared" si="0"/>
        <v>0</v>
      </c>
      <c r="L12" s="126">
        <f t="shared" si="1"/>
        <v>0</v>
      </c>
      <c r="M12" s="127">
        <f t="shared" si="2"/>
        <v>0</v>
      </c>
      <c r="N12" s="34"/>
      <c r="O12" s="34"/>
    </row>
    <row r="13" spans="1:15" x14ac:dyDescent="0.25">
      <c r="A13" s="124">
        <v>6</v>
      </c>
      <c r="B13" s="45"/>
      <c r="C13" s="45"/>
      <c r="D13" s="45"/>
      <c r="E13" s="110">
        <v>4</v>
      </c>
      <c r="F13" s="110">
        <v>8.6999999999999994E-3</v>
      </c>
      <c r="G13" s="110">
        <v>0.92500000000000004</v>
      </c>
      <c r="H13" s="110">
        <v>0.65</v>
      </c>
      <c r="I13" s="125" t="e">
        <f>IF('Project Summary'!$E$25=0,INDEX(CMPHours[Hours],MATCH('Cycling Dryer'!C13,CMPHours[Building Schedule],0)),'Project Summary'!$E$25)</f>
        <v>#N/A</v>
      </c>
      <c r="J13" s="125" t="e">
        <f>IF('Project Summary'!$E$26=0,INDEX(CMPCF[%],MATCH('Cycling Dryer'!C13,CMPCF[Building Schedule],0)),'Project Summary'!$E$26)</f>
        <v>#N/A</v>
      </c>
      <c r="K13" s="125">
        <f t="shared" si="0"/>
        <v>0</v>
      </c>
      <c r="L13" s="126">
        <f t="shared" si="1"/>
        <v>0</v>
      </c>
      <c r="M13" s="127">
        <f t="shared" si="2"/>
        <v>0</v>
      </c>
      <c r="N13" s="34"/>
      <c r="O13" s="34"/>
    </row>
    <row r="14" spans="1:15" x14ac:dyDescent="0.25">
      <c r="A14" s="124">
        <v>7</v>
      </c>
      <c r="B14" s="45"/>
      <c r="C14" s="45"/>
      <c r="D14" s="45"/>
      <c r="E14" s="110">
        <v>4</v>
      </c>
      <c r="F14" s="110">
        <v>8.6999999999999994E-3</v>
      </c>
      <c r="G14" s="110">
        <v>0.92500000000000004</v>
      </c>
      <c r="H14" s="110">
        <v>0.65</v>
      </c>
      <c r="I14" s="125" t="e">
        <f>IF('Project Summary'!$E$25=0,INDEX(CMPHours[Hours],MATCH('Cycling Dryer'!C14,CMPHours[Building Schedule],0)),'Project Summary'!$E$25)</f>
        <v>#N/A</v>
      </c>
      <c r="J14" s="125" t="e">
        <f>IF('Project Summary'!$E$26=0,INDEX(CMPCF[%],MATCH('Cycling Dryer'!C14,CMPCF[Building Schedule],0)),'Project Summary'!$E$26)</f>
        <v>#N/A</v>
      </c>
      <c r="K14" s="125">
        <f t="shared" si="0"/>
        <v>0</v>
      </c>
      <c r="L14" s="126">
        <f t="shared" si="1"/>
        <v>0</v>
      </c>
      <c r="M14" s="127">
        <f t="shared" si="2"/>
        <v>0</v>
      </c>
      <c r="N14" s="34"/>
      <c r="O14" s="34"/>
    </row>
    <row r="15" spans="1:15" x14ac:dyDescent="0.25">
      <c r="A15" s="124">
        <v>8</v>
      </c>
      <c r="B15" s="45"/>
      <c r="C15" s="45"/>
      <c r="D15" s="45"/>
      <c r="E15" s="110">
        <v>4</v>
      </c>
      <c r="F15" s="110">
        <v>8.6999999999999994E-3</v>
      </c>
      <c r="G15" s="110">
        <v>0.92500000000000004</v>
      </c>
      <c r="H15" s="110">
        <v>0.65</v>
      </c>
      <c r="I15" s="125" t="e">
        <f>IF('Project Summary'!$E$25=0,INDEX(CMPHours[Hours],MATCH('Cycling Dryer'!C15,CMPHours[Building Schedule],0)),'Project Summary'!$E$25)</f>
        <v>#N/A</v>
      </c>
      <c r="J15" s="125" t="e">
        <f>IF('Project Summary'!$E$26=0,INDEX(CMPCF[%],MATCH('Cycling Dryer'!C15,CMPCF[Building Schedule],0)),'Project Summary'!$E$26)</f>
        <v>#N/A</v>
      </c>
      <c r="K15" s="125">
        <f t="shared" si="0"/>
        <v>0</v>
      </c>
      <c r="L15" s="126">
        <f t="shared" si="1"/>
        <v>0</v>
      </c>
      <c r="M15" s="127">
        <f t="shared" si="2"/>
        <v>0</v>
      </c>
      <c r="N15" s="34"/>
      <c r="O15" s="34"/>
    </row>
    <row r="16" spans="1:15" x14ac:dyDescent="0.25">
      <c r="A16" s="124">
        <v>9</v>
      </c>
      <c r="B16" s="45"/>
      <c r="C16" s="45"/>
      <c r="D16" s="45"/>
      <c r="E16" s="110">
        <v>4</v>
      </c>
      <c r="F16" s="110">
        <v>8.6999999999999994E-3</v>
      </c>
      <c r="G16" s="110">
        <v>0.92500000000000004</v>
      </c>
      <c r="H16" s="110">
        <v>0.65</v>
      </c>
      <c r="I16" s="125" t="e">
        <f>IF('Project Summary'!$E$25=0,INDEX(CMPHours[Hours],MATCH('Cycling Dryer'!C16,CMPHours[Building Schedule],0)),'Project Summary'!$E$25)</f>
        <v>#N/A</v>
      </c>
      <c r="J16" s="125" t="e">
        <f>IF('Project Summary'!$E$26=0,INDEX(CMPCF[%],MATCH('Cycling Dryer'!C16,CMPCF[Building Schedule],0)),'Project Summary'!$E$26)</f>
        <v>#N/A</v>
      </c>
      <c r="K16" s="125">
        <f t="shared" si="0"/>
        <v>0</v>
      </c>
      <c r="L16" s="126">
        <f t="shared" si="1"/>
        <v>0</v>
      </c>
      <c r="M16" s="127">
        <f t="shared" si="2"/>
        <v>0</v>
      </c>
      <c r="N16" s="34"/>
      <c r="O16" s="34"/>
    </row>
    <row r="17" spans="1:15" ht="15.75" thickBot="1" x14ac:dyDescent="0.3">
      <c r="A17" s="128">
        <v>10</v>
      </c>
      <c r="B17" s="46"/>
      <c r="C17" s="46"/>
      <c r="D17" s="46"/>
      <c r="E17" s="129">
        <v>4</v>
      </c>
      <c r="F17" s="129">
        <v>8.6999999999999994E-3</v>
      </c>
      <c r="G17" s="129">
        <v>0.92500000000000004</v>
      </c>
      <c r="H17" s="129">
        <v>0.65</v>
      </c>
      <c r="I17" s="130" t="e">
        <f>IF('Project Summary'!$E$25=0,INDEX(CMPHours[Hours],MATCH('Cycling Dryer'!C17,CMPHours[Building Schedule],0)),'Project Summary'!$E$25)</f>
        <v>#N/A</v>
      </c>
      <c r="J17" s="130" t="e">
        <f>IF('Project Summary'!$E$26=0,INDEX(CMPCF[%],MATCH('Cycling Dryer'!C17,CMPCF[Building Schedule],0)),'Project Summary'!$E$26)</f>
        <v>#N/A</v>
      </c>
      <c r="K17" s="125">
        <f t="shared" si="0"/>
        <v>0</v>
      </c>
      <c r="L17" s="126">
        <f t="shared" si="1"/>
        <v>0</v>
      </c>
      <c r="M17" s="127">
        <f t="shared" si="2"/>
        <v>0</v>
      </c>
      <c r="N17" s="34"/>
      <c r="O17" s="34"/>
    </row>
    <row r="18" spans="1:15" hidden="1" x14ac:dyDescent="0.25">
      <c r="A18" s="131" t="s">
        <v>146</v>
      </c>
      <c r="B18" s="131"/>
      <c r="C18" s="131"/>
      <c r="D18" s="131"/>
      <c r="E18" s="131"/>
      <c r="F18" s="131"/>
      <c r="G18" s="131"/>
      <c r="H18" s="131"/>
      <c r="I18" s="131"/>
      <c r="J18" s="131"/>
      <c r="K18" s="131">
        <f>SUM(K8:K17)</f>
        <v>0</v>
      </c>
      <c r="L18" s="132">
        <f>SUM(L8:L17)</f>
        <v>0</v>
      </c>
      <c r="M18" s="133">
        <f>SUM(M8:M17)</f>
        <v>0</v>
      </c>
      <c r="N18" s="34"/>
      <c r="O18" s="34"/>
    </row>
    <row r="19" spans="1:15" x14ac:dyDescent="0.25">
      <c r="A19" s="34"/>
      <c r="B19" s="34"/>
      <c r="C19" s="34"/>
      <c r="D19" s="34"/>
      <c r="E19" s="34"/>
      <c r="F19" s="34"/>
      <c r="G19" s="34"/>
      <c r="H19" s="34"/>
      <c r="I19" s="34"/>
      <c r="J19" s="34"/>
      <c r="K19" s="34"/>
      <c r="L19" s="34"/>
      <c r="M19" s="34"/>
      <c r="N19" s="34"/>
      <c r="O19" s="34"/>
    </row>
    <row r="20" spans="1:15" x14ac:dyDescent="0.25">
      <c r="A20" s="34"/>
      <c r="B20" s="34"/>
      <c r="C20" s="34"/>
      <c r="D20" s="34"/>
      <c r="E20" s="34"/>
      <c r="F20" s="34"/>
      <c r="G20" s="34"/>
      <c r="H20" s="34"/>
      <c r="I20" s="34"/>
      <c r="J20" s="34"/>
      <c r="K20" s="34"/>
      <c r="L20" s="34"/>
      <c r="M20" s="34"/>
      <c r="N20" s="34"/>
      <c r="O20" s="34"/>
    </row>
  </sheetData>
  <sheetProtection algorithmName="SHA-512" hashValue="8OAk7iQq02J1ZsUI0bKuXS+AUeDEL1NHVJ+CQg0cR0WqeR3kXSXfOcB7RBEyxv9Oks/Xj5MROaYpWS5bvYCMdA==" saltValue="L83hV4HiKMTXBK95cuT5gQ==" spinCount="100000" sheet="1" selectLockedCells="1"/>
  <mergeCells count="5">
    <mergeCell ref="A6:C6"/>
    <mergeCell ref="D6:H6"/>
    <mergeCell ref="I6:M6"/>
    <mergeCell ref="A2:D2"/>
    <mergeCell ref="A3:D4"/>
  </mergeCells>
  <conditionalFormatting sqref="E8:E17">
    <cfRule type="cellIs" dxfId="6" priority="4" operator="notEqual">
      <formula>4</formula>
    </cfRule>
  </conditionalFormatting>
  <conditionalFormatting sqref="F8:F17">
    <cfRule type="cellIs" dxfId="5" priority="3" operator="notEqual">
      <formula>0.0087</formula>
    </cfRule>
  </conditionalFormatting>
  <conditionalFormatting sqref="G8:G17">
    <cfRule type="cellIs" dxfId="4" priority="2" operator="notEqual">
      <formula>0.925</formula>
    </cfRule>
  </conditionalFormatting>
  <conditionalFormatting sqref="H8:H17">
    <cfRule type="cellIs" dxfId="3" priority="1" operator="notEqual">
      <formula>0.65</formula>
    </cfRule>
  </conditionalFormatting>
  <dataValidations count="1">
    <dataValidation type="whole" operator="lessThan" allowBlank="1" showInputMessage="1" showErrorMessage="1" sqref="D8:D17" xr:uid="{00000000-0002-0000-0300-000000000000}">
      <formula1>151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 Tables'!$A$11:$A$14</xm:f>
          </x14:formula1>
          <xm:sqref>C8:C17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
  <sheetViews>
    <sheetView topLeftCell="C1" workbookViewId="0">
      <selection activeCell="B9" sqref="B9"/>
    </sheetView>
  </sheetViews>
  <sheetFormatPr defaultRowHeight="15" x14ac:dyDescent="0.25"/>
  <cols>
    <col min="1" max="1" width="6.28515625" customWidth="1"/>
    <col min="2" max="2" width="26.5703125" customWidth="1"/>
    <col min="3" max="3" width="27.5703125" customWidth="1"/>
    <col min="4" max="4" width="16.140625" bestFit="1" customWidth="1"/>
    <col min="5" max="5" width="15.140625" bestFit="1" customWidth="1"/>
    <col min="6" max="6" width="15.140625" customWidth="1"/>
    <col min="7" max="7" width="15.85546875" customWidth="1"/>
    <col min="8" max="8" width="19.85546875" customWidth="1"/>
    <col min="9" max="9" width="33" customWidth="1"/>
    <col min="10" max="10" width="19.140625" customWidth="1"/>
    <col min="11" max="11" width="26.7109375" customWidth="1"/>
    <col min="12" max="12" width="18.140625" hidden="1" customWidth="1"/>
    <col min="13" max="13" width="18" hidden="1" customWidth="1"/>
    <col min="14" max="15" width="11.7109375" customWidth="1"/>
    <col min="16" max="16" width="10.5703125" customWidth="1"/>
  </cols>
  <sheetData>
    <row r="1" spans="1:18" x14ac:dyDescent="0.25">
      <c r="A1" s="34"/>
      <c r="B1" s="34"/>
      <c r="C1" s="34"/>
      <c r="D1" s="34"/>
      <c r="E1" s="34"/>
      <c r="F1" s="34"/>
      <c r="G1" s="34"/>
      <c r="H1" s="34"/>
      <c r="I1" s="34"/>
      <c r="J1" s="34"/>
      <c r="K1" s="34"/>
      <c r="L1" s="34"/>
      <c r="M1" s="34"/>
      <c r="N1" s="34"/>
      <c r="O1" s="34"/>
      <c r="P1" s="34"/>
      <c r="Q1" s="34"/>
      <c r="R1" s="34"/>
    </row>
    <row r="2" spans="1:18" ht="15.75" thickBot="1" x14ac:dyDescent="0.3">
      <c r="A2" s="34"/>
      <c r="B2" s="34"/>
      <c r="C2" s="34"/>
      <c r="D2" s="34"/>
      <c r="E2" s="34"/>
      <c r="F2" s="34"/>
      <c r="G2" s="34"/>
      <c r="H2" s="34"/>
      <c r="I2" s="34"/>
      <c r="J2" s="34"/>
      <c r="K2" s="34"/>
      <c r="L2" s="34"/>
      <c r="M2" s="34"/>
      <c r="N2" s="34"/>
      <c r="O2" s="34"/>
      <c r="P2" s="34"/>
      <c r="Q2" s="34"/>
      <c r="R2" s="34"/>
    </row>
    <row r="3" spans="1:18" ht="21.75" thickBot="1" x14ac:dyDescent="0.4">
      <c r="A3" s="350" t="s">
        <v>147</v>
      </c>
      <c r="B3" s="351"/>
      <c r="C3" s="351"/>
      <c r="D3" s="351"/>
      <c r="E3" s="352"/>
      <c r="F3" s="34"/>
      <c r="G3" s="34"/>
      <c r="H3" s="34"/>
      <c r="I3" s="34"/>
      <c r="J3" s="34"/>
      <c r="K3" s="34"/>
      <c r="L3" s="34"/>
      <c r="M3" s="34"/>
      <c r="N3" s="34"/>
      <c r="O3" s="34"/>
      <c r="P3" s="34"/>
      <c r="Q3" s="34"/>
      <c r="R3" s="34"/>
    </row>
    <row r="4" spans="1:18" s="102" customFormat="1" ht="49.15" customHeight="1" x14ac:dyDescent="0.25">
      <c r="A4" s="340" t="s">
        <v>148</v>
      </c>
      <c r="B4" s="341"/>
      <c r="C4" s="341"/>
      <c r="D4" s="341"/>
      <c r="E4" s="342"/>
      <c r="F4" s="117"/>
      <c r="G4" s="117"/>
      <c r="H4" s="117"/>
      <c r="I4" s="117"/>
      <c r="J4" s="117"/>
      <c r="K4" s="117"/>
      <c r="L4" s="117"/>
      <c r="M4" s="117"/>
      <c r="N4" s="117"/>
      <c r="O4" s="117"/>
      <c r="P4" s="117"/>
      <c r="Q4" s="117"/>
      <c r="R4" s="117"/>
    </row>
    <row r="5" spans="1:18" s="102" customFormat="1" ht="58.5" customHeight="1" thickBot="1" x14ac:dyDescent="0.3">
      <c r="A5" s="343"/>
      <c r="B5" s="344"/>
      <c r="C5" s="344"/>
      <c r="D5" s="344"/>
      <c r="E5" s="345"/>
      <c r="F5" s="117"/>
      <c r="G5" s="117"/>
      <c r="H5" s="117"/>
      <c r="I5" s="117"/>
      <c r="J5" s="117"/>
      <c r="K5" s="117"/>
      <c r="L5" s="117"/>
      <c r="M5" s="117"/>
      <c r="N5" s="117"/>
      <c r="O5" s="117"/>
      <c r="P5" s="117"/>
      <c r="Q5" s="117"/>
      <c r="R5" s="117"/>
    </row>
    <row r="6" spans="1:18" ht="15.75" thickBot="1" x14ac:dyDescent="0.3">
      <c r="A6" s="34"/>
      <c r="B6" s="34"/>
      <c r="C6" s="34"/>
      <c r="D6" s="34"/>
      <c r="E6" s="34"/>
      <c r="F6" s="34"/>
      <c r="G6" s="34"/>
      <c r="H6" s="34"/>
      <c r="I6" s="34"/>
      <c r="J6" s="34"/>
      <c r="K6" s="34"/>
      <c r="L6" s="34"/>
      <c r="M6" s="34"/>
      <c r="N6" s="34"/>
      <c r="O6" s="34"/>
      <c r="P6" s="34"/>
      <c r="Q6" s="34"/>
      <c r="R6" s="34"/>
    </row>
    <row r="7" spans="1:18" s="135" customFormat="1" ht="24.95" customHeight="1" x14ac:dyDescent="0.25">
      <c r="A7" s="346" t="s">
        <v>113</v>
      </c>
      <c r="B7" s="347"/>
      <c r="C7" s="347"/>
      <c r="D7" s="346" t="s">
        <v>149</v>
      </c>
      <c r="E7" s="347"/>
      <c r="F7" s="347"/>
      <c r="G7" s="347"/>
      <c r="H7" s="347"/>
      <c r="I7" s="347"/>
      <c r="J7" s="347"/>
      <c r="K7" s="348"/>
      <c r="L7" s="346" t="s">
        <v>136</v>
      </c>
      <c r="M7" s="347"/>
      <c r="N7" s="347"/>
      <c r="O7" s="349"/>
      <c r="P7" s="348"/>
      <c r="Q7" s="134"/>
      <c r="R7" s="134"/>
    </row>
    <row r="8" spans="1:18" s="108" customFormat="1" ht="42" customHeight="1" x14ac:dyDescent="0.25">
      <c r="A8" s="120" t="s">
        <v>118</v>
      </c>
      <c r="B8" s="121" t="s">
        <v>43</v>
      </c>
      <c r="C8" s="121" t="s">
        <v>45</v>
      </c>
      <c r="D8" s="120" t="s">
        <v>55</v>
      </c>
      <c r="E8" s="121" t="s">
        <v>150</v>
      </c>
      <c r="F8" s="121" t="s">
        <v>151</v>
      </c>
      <c r="G8" s="121" t="s">
        <v>152</v>
      </c>
      <c r="H8" s="121" t="s">
        <v>153</v>
      </c>
      <c r="I8" s="121" t="s">
        <v>57</v>
      </c>
      <c r="J8" s="121" t="s">
        <v>154</v>
      </c>
      <c r="K8" s="122" t="s">
        <v>155</v>
      </c>
      <c r="L8" s="120" t="s">
        <v>142</v>
      </c>
      <c r="M8" s="121" t="s">
        <v>102</v>
      </c>
      <c r="N8" s="121" t="s">
        <v>145</v>
      </c>
      <c r="O8" s="136" t="s">
        <v>143</v>
      </c>
      <c r="P8" s="122" t="s">
        <v>144</v>
      </c>
      <c r="Q8" s="123"/>
      <c r="R8" s="123"/>
    </row>
    <row r="9" spans="1:18" x14ac:dyDescent="0.25">
      <c r="A9" s="124">
        <v>1</v>
      </c>
      <c r="B9" s="45"/>
      <c r="C9" s="45"/>
      <c r="D9" s="48"/>
      <c r="E9" s="45"/>
      <c r="F9" s="137" t="str">
        <f>IFERROR(VLOOKUP(E9,BaselineNozzleMassFlow[#All],2,FALSE),"")</f>
        <v/>
      </c>
      <c r="G9" s="45"/>
      <c r="H9" s="137" t="str">
        <f>IFERROR(VLOOKUP(G9,AirEntrainingNozzleMassFlow[#All],2,FALSE),"")</f>
        <v/>
      </c>
      <c r="I9" s="45"/>
      <c r="J9" s="137" t="str">
        <f>IFERROR(VLOOKUP(I9,AverageCompressorkWCFM[#All],2,FALSE),"")</f>
        <v/>
      </c>
      <c r="K9" s="138">
        <v>0.05</v>
      </c>
      <c r="L9" s="139" t="str">
        <f>IFERROR(IF('Project Summary'!$E$25=0,INDEX(CMPHours[Hours],MATCH('Air Nozzle'!C9,CMPHours[Building Schedule],0)),'Project Summary'!$E$25),"")</f>
        <v/>
      </c>
      <c r="M9" s="140" t="str">
        <f>IFERROR(IF('Project Summary'!$E$26=0,INDEX(CMPCF[%],MATCH('Air Nozzle'!C9,CMPCF[Building Schedule],0)),'Project Summary'!$E$26),"")</f>
        <v/>
      </c>
      <c r="N9" s="141">
        <f>IFERROR(ROUND((F9-H9)*L9*J9*D9*K9,4),0)</f>
        <v>0</v>
      </c>
      <c r="O9" s="142">
        <f>IFERROR(ROUND((N9/L9),6),0)</f>
        <v>0</v>
      </c>
      <c r="P9" s="143">
        <f>IFERROR(ROUND((N9/L9)*M9,6),0)</f>
        <v>0</v>
      </c>
      <c r="Q9" s="34"/>
      <c r="R9" s="34"/>
    </row>
    <row r="10" spans="1:18" x14ac:dyDescent="0.25">
      <c r="A10" s="124">
        <v>2</v>
      </c>
      <c r="B10" s="45"/>
      <c r="C10" s="45"/>
      <c r="D10" s="48"/>
      <c r="E10" s="45"/>
      <c r="F10" s="137" t="str">
        <f>IFERROR(VLOOKUP(E10,BaselineNozzleMassFlow[#All],2,FALSE),"")</f>
        <v/>
      </c>
      <c r="G10" s="45"/>
      <c r="H10" s="137" t="str">
        <f>IFERROR(VLOOKUP(G10,AirEntrainingNozzleMassFlow[#All],2,FALSE),"")</f>
        <v/>
      </c>
      <c r="I10" s="45"/>
      <c r="J10" s="137" t="str">
        <f>IFERROR(VLOOKUP(I10,AverageCompressorkWCFM[#All],2,FALSE),"")</f>
        <v/>
      </c>
      <c r="K10" s="138">
        <v>0.05</v>
      </c>
      <c r="L10" s="139" t="str">
        <f>IFERROR(IF('Project Summary'!$E$25=0,INDEX(CMPHours[Hours],MATCH('Air Nozzle'!C10,CMPHours[Building Schedule],0)),'Project Summary'!$E$25),"")</f>
        <v/>
      </c>
      <c r="M10" s="140" t="str">
        <f>IFERROR(IF('Project Summary'!$E$26=0,INDEX(CMPCF[%],MATCH('Air Nozzle'!C10,CMPCF[Building Schedule],0)),'Project Summary'!$E$26),"")</f>
        <v/>
      </c>
      <c r="N10" s="141">
        <f t="shared" ref="N10:N18" si="0">IFERROR(ROUND((F10-H10)*L10*J10*D10*K10,4),0)</f>
        <v>0</v>
      </c>
      <c r="O10" s="142">
        <f t="shared" ref="O10:O18" si="1">IFERROR(ROUND((N10/L10),6),0)</f>
        <v>0</v>
      </c>
      <c r="P10" s="143">
        <f t="shared" ref="P10:P18" si="2">IFERROR(ROUND((N10/L10)*M10,6),0)</f>
        <v>0</v>
      </c>
      <c r="Q10" s="34"/>
      <c r="R10" s="34"/>
    </row>
    <row r="11" spans="1:18" x14ac:dyDescent="0.25">
      <c r="A11" s="124">
        <v>3</v>
      </c>
      <c r="B11" s="45"/>
      <c r="C11" s="45"/>
      <c r="D11" s="48"/>
      <c r="E11" s="45"/>
      <c r="F11" s="137" t="str">
        <f>IFERROR(VLOOKUP(E11,BaselineNozzleMassFlow[#All],2,FALSE),"")</f>
        <v/>
      </c>
      <c r="G11" s="45"/>
      <c r="H11" s="137" t="str">
        <f>IFERROR(VLOOKUP(G11,AirEntrainingNozzleMassFlow[#All],2,FALSE),"")</f>
        <v/>
      </c>
      <c r="I11" s="45"/>
      <c r="J11" s="137" t="str">
        <f>IFERROR(VLOOKUP(I11,AverageCompressorkWCFM[#All],2,FALSE),"")</f>
        <v/>
      </c>
      <c r="K11" s="138">
        <v>0.05</v>
      </c>
      <c r="L11" s="139" t="str">
        <f>IFERROR(IF('Project Summary'!$E$25=0,INDEX(CMPHours[Hours],MATCH('Air Nozzle'!C11,CMPHours[Building Schedule],0)),'Project Summary'!$E$25),"")</f>
        <v/>
      </c>
      <c r="M11" s="140" t="str">
        <f>IFERROR(IF('Project Summary'!$E$26=0,INDEX(CMPCF[%],MATCH('Air Nozzle'!C11,CMPCF[Building Schedule],0)),'Project Summary'!$E$26),"")</f>
        <v/>
      </c>
      <c r="N11" s="141">
        <f t="shared" si="0"/>
        <v>0</v>
      </c>
      <c r="O11" s="142">
        <f t="shared" si="1"/>
        <v>0</v>
      </c>
      <c r="P11" s="143">
        <f t="shared" si="2"/>
        <v>0</v>
      </c>
      <c r="Q11" s="34"/>
      <c r="R11" s="34"/>
    </row>
    <row r="12" spans="1:18" x14ac:dyDescent="0.25">
      <c r="A12" s="124">
        <v>4</v>
      </c>
      <c r="B12" s="45"/>
      <c r="C12" s="45"/>
      <c r="D12" s="48"/>
      <c r="E12" s="45"/>
      <c r="F12" s="137" t="str">
        <f>IFERROR(VLOOKUP(E12,BaselineNozzleMassFlow[#All],2,FALSE),"")</f>
        <v/>
      </c>
      <c r="G12" s="45"/>
      <c r="H12" s="137" t="str">
        <f>IFERROR(VLOOKUP(G12,AirEntrainingNozzleMassFlow[#All],2,FALSE),"")</f>
        <v/>
      </c>
      <c r="I12" s="45"/>
      <c r="J12" s="137" t="str">
        <f>IFERROR(VLOOKUP(I12,AverageCompressorkWCFM[#All],2,FALSE),"")</f>
        <v/>
      </c>
      <c r="K12" s="138">
        <v>0.05</v>
      </c>
      <c r="L12" s="139" t="str">
        <f>IFERROR(IF('Project Summary'!$E$25=0,INDEX(CMPHours[Hours],MATCH('Air Nozzle'!C12,CMPHours[Building Schedule],0)),'Project Summary'!$E$25),"")</f>
        <v/>
      </c>
      <c r="M12" s="140" t="str">
        <f>IFERROR(IF('Project Summary'!$E$26=0,INDEX(CMPCF[%],MATCH('Air Nozzle'!C12,CMPCF[Building Schedule],0)),'Project Summary'!$E$26),"")</f>
        <v/>
      </c>
      <c r="N12" s="141">
        <f t="shared" si="0"/>
        <v>0</v>
      </c>
      <c r="O12" s="142">
        <f t="shared" si="1"/>
        <v>0</v>
      </c>
      <c r="P12" s="143">
        <f t="shared" si="2"/>
        <v>0</v>
      </c>
      <c r="Q12" s="34"/>
      <c r="R12" s="34"/>
    </row>
    <row r="13" spans="1:18" x14ac:dyDescent="0.25">
      <c r="A13" s="124">
        <v>5</v>
      </c>
      <c r="B13" s="45"/>
      <c r="C13" s="45"/>
      <c r="D13" s="48"/>
      <c r="E13" s="45"/>
      <c r="F13" s="137" t="str">
        <f>IFERROR(VLOOKUP(E13,BaselineNozzleMassFlow[#All],2,FALSE),"")</f>
        <v/>
      </c>
      <c r="G13" s="45"/>
      <c r="H13" s="137" t="str">
        <f>IFERROR(VLOOKUP(G13,AirEntrainingNozzleMassFlow[#All],2,FALSE),"")</f>
        <v/>
      </c>
      <c r="I13" s="45"/>
      <c r="J13" s="137" t="str">
        <f>IFERROR(VLOOKUP(I13,AverageCompressorkWCFM[#All],2,FALSE),"")</f>
        <v/>
      </c>
      <c r="K13" s="138">
        <v>0.05</v>
      </c>
      <c r="L13" s="139" t="str">
        <f>IFERROR(IF('Project Summary'!$E$25=0,INDEX(CMPHours[Hours],MATCH('Air Nozzle'!C13,CMPHours[Building Schedule],0)),'Project Summary'!$E$25),"")</f>
        <v/>
      </c>
      <c r="M13" s="140" t="str">
        <f>IFERROR(IF('Project Summary'!$E$26=0,INDEX(CMPCF[%],MATCH('Air Nozzle'!C13,CMPCF[Building Schedule],0)),'Project Summary'!$E$26),"")</f>
        <v/>
      </c>
      <c r="N13" s="141">
        <f t="shared" si="0"/>
        <v>0</v>
      </c>
      <c r="O13" s="142">
        <f t="shared" si="1"/>
        <v>0</v>
      </c>
      <c r="P13" s="143">
        <f t="shared" si="2"/>
        <v>0</v>
      </c>
      <c r="Q13" s="34"/>
      <c r="R13" s="34"/>
    </row>
    <row r="14" spans="1:18" x14ac:dyDescent="0.25">
      <c r="A14" s="124">
        <v>6</v>
      </c>
      <c r="B14" s="45"/>
      <c r="C14" s="45"/>
      <c r="D14" s="48"/>
      <c r="E14" s="45"/>
      <c r="F14" s="137" t="str">
        <f>IFERROR(VLOOKUP(E14,BaselineNozzleMassFlow[#All],2,FALSE),"")</f>
        <v/>
      </c>
      <c r="G14" s="45"/>
      <c r="H14" s="137" t="str">
        <f>IFERROR(VLOOKUP(G14,AirEntrainingNozzleMassFlow[#All],2,FALSE),"")</f>
        <v/>
      </c>
      <c r="I14" s="45"/>
      <c r="J14" s="137" t="str">
        <f>IFERROR(VLOOKUP(I14,AverageCompressorkWCFM[#All],2,FALSE),"")</f>
        <v/>
      </c>
      <c r="K14" s="138">
        <v>0.05</v>
      </c>
      <c r="L14" s="139" t="str">
        <f>IFERROR(IF('Project Summary'!$E$25=0,INDEX(CMPHours[Hours],MATCH('Air Nozzle'!C14,CMPHours[Building Schedule],0)),'Project Summary'!$E$25),"")</f>
        <v/>
      </c>
      <c r="M14" s="140" t="str">
        <f>IFERROR(IF('Project Summary'!$E$26=0,INDEX(CMPCF[%],MATCH('Air Nozzle'!C14,CMPCF[Building Schedule],0)),'Project Summary'!$E$26),"")</f>
        <v/>
      </c>
      <c r="N14" s="141">
        <f t="shared" si="0"/>
        <v>0</v>
      </c>
      <c r="O14" s="142">
        <f t="shared" si="1"/>
        <v>0</v>
      </c>
      <c r="P14" s="143">
        <f t="shared" si="2"/>
        <v>0</v>
      </c>
      <c r="Q14" s="34"/>
      <c r="R14" s="34"/>
    </row>
    <row r="15" spans="1:18" x14ac:dyDescent="0.25">
      <c r="A15" s="124">
        <v>7</v>
      </c>
      <c r="B15" s="45"/>
      <c r="C15" s="45"/>
      <c r="D15" s="48"/>
      <c r="E15" s="45"/>
      <c r="F15" s="137" t="str">
        <f>IFERROR(VLOOKUP(E15,BaselineNozzleMassFlow[#All],2,FALSE),"")</f>
        <v/>
      </c>
      <c r="G15" s="45"/>
      <c r="H15" s="137" t="str">
        <f>IFERROR(VLOOKUP(G15,AirEntrainingNozzleMassFlow[#All],2,FALSE),"")</f>
        <v/>
      </c>
      <c r="I15" s="45"/>
      <c r="J15" s="137" t="str">
        <f>IFERROR(VLOOKUP(I15,AverageCompressorkWCFM[#All],2,FALSE),"")</f>
        <v/>
      </c>
      <c r="K15" s="138">
        <v>0.05</v>
      </c>
      <c r="L15" s="139" t="str">
        <f>IFERROR(IF('Project Summary'!$E$25=0,INDEX(CMPHours[Hours],MATCH('Air Nozzle'!C15,CMPHours[Building Schedule],0)),'Project Summary'!$E$25),"")</f>
        <v/>
      </c>
      <c r="M15" s="140" t="str">
        <f>IFERROR(IF('Project Summary'!$E$26=0,INDEX(CMPCF[%],MATCH('Air Nozzle'!C15,CMPCF[Building Schedule],0)),'Project Summary'!$E$26),"")</f>
        <v/>
      </c>
      <c r="N15" s="141">
        <f t="shared" si="0"/>
        <v>0</v>
      </c>
      <c r="O15" s="142">
        <f t="shared" si="1"/>
        <v>0</v>
      </c>
      <c r="P15" s="143">
        <f t="shared" si="2"/>
        <v>0</v>
      </c>
      <c r="Q15" s="34"/>
      <c r="R15" s="34"/>
    </row>
    <row r="16" spans="1:18" x14ac:dyDescent="0.25">
      <c r="A16" s="124">
        <v>8</v>
      </c>
      <c r="B16" s="45"/>
      <c r="C16" s="45"/>
      <c r="D16" s="48"/>
      <c r="E16" s="45"/>
      <c r="F16" s="137" t="str">
        <f>IFERROR(VLOOKUP(E16,BaselineNozzleMassFlow[#All],2,FALSE),"")</f>
        <v/>
      </c>
      <c r="G16" s="45"/>
      <c r="H16" s="137" t="str">
        <f>IFERROR(VLOOKUP(G16,AirEntrainingNozzleMassFlow[#All],2,FALSE),"")</f>
        <v/>
      </c>
      <c r="I16" s="45"/>
      <c r="J16" s="137" t="str">
        <f>IFERROR(VLOOKUP(I16,AverageCompressorkWCFM[#All],2,FALSE),"")</f>
        <v/>
      </c>
      <c r="K16" s="138">
        <v>0.05</v>
      </c>
      <c r="L16" s="139" t="str">
        <f>IFERROR(IF('Project Summary'!$E$25=0,INDEX(CMPHours[Hours],MATCH('Air Nozzle'!C16,CMPHours[Building Schedule],0)),'Project Summary'!$E$25),"")</f>
        <v/>
      </c>
      <c r="M16" s="140" t="str">
        <f>IFERROR(IF('Project Summary'!$E$26=0,INDEX(CMPCF[%],MATCH('Air Nozzle'!C16,CMPCF[Building Schedule],0)),'Project Summary'!$E$26),"")</f>
        <v/>
      </c>
      <c r="N16" s="141">
        <f t="shared" si="0"/>
        <v>0</v>
      </c>
      <c r="O16" s="142">
        <f t="shared" si="1"/>
        <v>0</v>
      </c>
      <c r="P16" s="143">
        <f t="shared" si="2"/>
        <v>0</v>
      </c>
      <c r="Q16" s="34"/>
      <c r="R16" s="34"/>
    </row>
    <row r="17" spans="1:18" x14ac:dyDescent="0.25">
      <c r="A17" s="124">
        <v>9</v>
      </c>
      <c r="B17" s="45"/>
      <c r="C17" s="45"/>
      <c r="D17" s="48"/>
      <c r="E17" s="45"/>
      <c r="F17" s="137" t="str">
        <f>IFERROR(VLOOKUP(E17,BaselineNozzleMassFlow[#All],2,FALSE),"")</f>
        <v/>
      </c>
      <c r="G17" s="45"/>
      <c r="H17" s="137" t="str">
        <f>IFERROR(VLOOKUP(G17,AirEntrainingNozzleMassFlow[#All],2,FALSE),"")</f>
        <v/>
      </c>
      <c r="I17" s="45"/>
      <c r="J17" s="137" t="str">
        <f>IFERROR(VLOOKUP(I17,AverageCompressorkWCFM[#All],2,FALSE),"")</f>
        <v/>
      </c>
      <c r="K17" s="138">
        <v>0.05</v>
      </c>
      <c r="L17" s="139" t="str">
        <f>IFERROR(IF('Project Summary'!$E$25=0,INDEX(CMPHours[Hours],MATCH('Air Nozzle'!C17,CMPHours[Building Schedule],0)),'Project Summary'!$E$25),"")</f>
        <v/>
      </c>
      <c r="M17" s="140" t="str">
        <f>IFERROR(IF('Project Summary'!$E$26=0,INDEX(CMPCF[%],MATCH('Air Nozzle'!C17,CMPCF[Building Schedule],0)),'Project Summary'!$E$26),"")</f>
        <v/>
      </c>
      <c r="N17" s="141">
        <f t="shared" si="0"/>
        <v>0</v>
      </c>
      <c r="O17" s="142">
        <f t="shared" si="1"/>
        <v>0</v>
      </c>
      <c r="P17" s="143">
        <f t="shared" si="2"/>
        <v>0</v>
      </c>
      <c r="Q17" s="34"/>
      <c r="R17" s="34"/>
    </row>
    <row r="18" spans="1:18" ht="15.75" thickBot="1" x14ac:dyDescent="0.3">
      <c r="A18" s="128">
        <v>10</v>
      </c>
      <c r="B18" s="46"/>
      <c r="C18" s="46"/>
      <c r="D18" s="50"/>
      <c r="E18" s="46"/>
      <c r="F18" s="137" t="str">
        <f>IFERROR(VLOOKUP(E18,BaselineNozzleMassFlow[#All],2,FALSE),"")</f>
        <v/>
      </c>
      <c r="G18" s="46"/>
      <c r="H18" s="137" t="str">
        <f>IFERROR(VLOOKUP(G18,AirEntrainingNozzleMassFlow[#All],2,FALSE),"")</f>
        <v/>
      </c>
      <c r="I18" s="46"/>
      <c r="J18" s="137" t="str">
        <f>IFERROR(VLOOKUP(I18,AverageCompressorkWCFM[#All],2,FALSE),"")</f>
        <v/>
      </c>
      <c r="K18" s="138">
        <v>0.05</v>
      </c>
      <c r="L18" s="139" t="str">
        <f>IFERROR(IF('Project Summary'!$E$25=0,INDEX(CMPHours[Hours],MATCH('Air Nozzle'!C18,CMPHours[Building Schedule],0)),'Project Summary'!$E$25),"")</f>
        <v/>
      </c>
      <c r="M18" s="140" t="str">
        <f>IFERROR(IF('Project Summary'!$E$26=0,INDEX(CMPCF[%],MATCH('Air Nozzle'!C18,CMPCF[Building Schedule],0)),'Project Summary'!$E$26),"")</f>
        <v/>
      </c>
      <c r="N18" s="141">
        <f t="shared" si="0"/>
        <v>0</v>
      </c>
      <c r="O18" s="142">
        <f t="shared" si="1"/>
        <v>0</v>
      </c>
      <c r="P18" s="143">
        <f t="shared" si="2"/>
        <v>0</v>
      </c>
      <c r="Q18" s="34"/>
      <c r="R18" s="34"/>
    </row>
    <row r="19" spans="1:18" hidden="1" x14ac:dyDescent="0.25">
      <c r="A19" s="144" t="s">
        <v>146</v>
      </c>
      <c r="B19" s="145"/>
      <c r="C19" s="145"/>
      <c r="D19" s="146">
        <f>SUM(D9:D18)</f>
        <v>0</v>
      </c>
      <c r="E19" s="145"/>
      <c r="F19" s="145"/>
      <c r="G19" s="145"/>
      <c r="H19" s="145"/>
      <c r="I19" s="145"/>
      <c r="J19" s="145"/>
      <c r="K19" s="147"/>
      <c r="L19" s="144"/>
      <c r="M19" s="145"/>
      <c r="N19" s="148">
        <f>SUM(N9:N18)</f>
        <v>0</v>
      </c>
      <c r="O19" s="149">
        <f>SUM(O9:O18)</f>
        <v>0</v>
      </c>
      <c r="P19" s="149">
        <f>SUM(P9:P18)</f>
        <v>0</v>
      </c>
      <c r="Q19" s="34"/>
      <c r="R19" s="34"/>
    </row>
    <row r="20" spans="1:18" x14ac:dyDescent="0.25">
      <c r="A20" s="34"/>
      <c r="B20" s="34"/>
      <c r="C20" s="34"/>
      <c r="D20" s="34"/>
      <c r="E20" s="34"/>
      <c r="F20" s="34"/>
      <c r="G20" s="34"/>
      <c r="H20" s="34"/>
      <c r="I20" s="34"/>
      <c r="J20" s="34"/>
      <c r="K20" s="34"/>
      <c r="L20" s="34"/>
      <c r="M20" s="34"/>
      <c r="N20" s="34"/>
      <c r="O20" s="34"/>
      <c r="P20" s="34"/>
      <c r="Q20" s="34"/>
      <c r="R20" s="34"/>
    </row>
    <row r="21" spans="1:18" x14ac:dyDescent="0.25">
      <c r="A21" s="34"/>
      <c r="B21" s="34"/>
      <c r="C21" s="34"/>
      <c r="D21" s="34"/>
      <c r="E21" s="34"/>
      <c r="F21" s="34"/>
      <c r="G21" s="34"/>
      <c r="H21" s="34"/>
      <c r="I21" s="34"/>
      <c r="J21" s="34"/>
      <c r="K21" s="34"/>
      <c r="L21" s="34"/>
      <c r="M21" s="34"/>
      <c r="N21" s="34"/>
      <c r="O21" s="34"/>
      <c r="P21" s="34"/>
      <c r="Q21" s="34"/>
      <c r="R21" s="34"/>
    </row>
  </sheetData>
  <sheetProtection algorithmName="SHA-512" hashValue="kZIisfHqDB1Tv6NOug7fzX35pwNCzPPTlSMNlUiYvuDKTTnMd9gdkNYeC2o+6/YClR3XsMe8pJxO9mEPmzNV8Q==" saltValue="xmHoupSzn5N+D4op6g8oMQ==" spinCount="100000" sheet="1" selectLockedCells="1"/>
  <mergeCells count="5">
    <mergeCell ref="A7:C7"/>
    <mergeCell ref="D7:K7"/>
    <mergeCell ref="L7:P7"/>
    <mergeCell ref="A3:E3"/>
    <mergeCell ref="A4:E5"/>
  </mergeCells>
  <conditionalFormatting sqref="K9:K18">
    <cfRule type="cellIs" dxfId="2" priority="1" operator="notEqual">
      <formula>0.05</formula>
    </cfRule>
  </conditionalFormatting>
  <dataValidations count="1">
    <dataValidation type="decimal" allowBlank="1" showInputMessage="1" showErrorMessage="1" errorTitle="Max Exceeded" error="Maximum of 10% has been exceeded." sqref="K9:K18" xr:uid="{1F4A18AB-B05B-4696-AC85-04CE5CFA2DFC}">
      <formula1>0</formula1>
      <formula2>0.1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'Lookup Tables'!$D$4:$D$5</xm:f>
          </x14:formula1>
          <xm:sqref>E9:E18</xm:sqref>
        </x14:dataValidation>
        <x14:dataValidation type="list" allowBlank="1" showInputMessage="1" showErrorMessage="1" xr:uid="{00000000-0002-0000-0400-000002000000}">
          <x14:formula1>
            <xm:f>'Lookup Tables'!$D$9:$D$10</xm:f>
          </x14:formula1>
          <xm:sqref>G9:G18</xm:sqref>
        </x14:dataValidation>
        <x14:dataValidation type="list" allowBlank="1" showInputMessage="1" showErrorMessage="1" xr:uid="{00000000-0002-0000-0400-000003000000}">
          <x14:formula1>
            <xm:f>'Lookup Tables'!$G$4:$G$8</xm:f>
          </x14:formula1>
          <xm:sqref>I10:I18</xm:sqref>
        </x14:dataValidation>
        <x14:dataValidation type="list" allowBlank="1" showInputMessage="1" showErrorMessage="1" xr:uid="{59A63484-9672-4BF8-956D-C8CE5F7D3186}">
          <x14:formula1>
            <xm:f>'Lookup Tables'!$G$4:$G$9</xm:f>
          </x14:formula1>
          <xm:sqref>I9</xm:sqref>
        </x14:dataValidation>
        <x14:dataValidation type="list" allowBlank="1" showInputMessage="1" showErrorMessage="1" xr:uid="{8C08F394-2413-4D94-B25B-EC44027F8F36}">
          <x14:formula1>
            <xm:f>'Lookup Tables'!$A$11:$A$14</xm:f>
          </x14:formula1>
          <xm:sqref>C9:C18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0"/>
  <sheetViews>
    <sheetView workbookViewId="0">
      <selection activeCell="G9" sqref="G9"/>
    </sheetView>
  </sheetViews>
  <sheetFormatPr defaultRowHeight="15" x14ac:dyDescent="0.25"/>
  <cols>
    <col min="1" max="1" width="5.140625" customWidth="1"/>
    <col min="2" max="2" width="26.42578125" customWidth="1"/>
    <col min="3" max="3" width="27.5703125" customWidth="1"/>
    <col min="4" max="4" width="12.140625" bestFit="1" customWidth="1"/>
    <col min="5" max="5" width="8.7109375" bestFit="1" customWidth="1"/>
    <col min="6" max="6" width="7.7109375" hidden="1" customWidth="1"/>
    <col min="7" max="7" width="33" bestFit="1" customWidth="1"/>
    <col min="8" max="8" width="19.140625" customWidth="1"/>
    <col min="9" max="9" width="20.42578125" customWidth="1"/>
    <col min="10" max="10" width="11.7109375" customWidth="1"/>
    <col min="11" max="11" width="23" customWidth="1"/>
    <col min="12" max="12" width="9.140625" customWidth="1"/>
    <col min="13" max="13" width="10" hidden="1" customWidth="1"/>
    <col min="14" max="14" width="12.5703125" hidden="1" customWidth="1"/>
    <col min="15" max="15" width="11.7109375" customWidth="1"/>
    <col min="16" max="16" width="14.140625" customWidth="1"/>
    <col min="17" max="17" width="10.5703125" customWidth="1"/>
    <col min="18" max="18" width="9.1406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50" t="s">
        <v>156</v>
      </c>
      <c r="B2" s="351"/>
      <c r="C2" s="351"/>
      <c r="D2" s="351"/>
      <c r="E2" s="352"/>
      <c r="F2" s="34"/>
      <c r="G2" s="34"/>
      <c r="H2" s="34"/>
      <c r="I2" s="34"/>
      <c r="J2" s="34"/>
      <c r="K2" s="34"/>
      <c r="L2" s="34"/>
      <c r="M2" s="34"/>
      <c r="N2" s="34"/>
      <c r="O2" s="34"/>
      <c r="P2" s="34"/>
      <c r="Q2" s="34"/>
      <c r="R2" s="34"/>
    </row>
    <row r="3" spans="1:18" ht="37.15" customHeight="1" x14ac:dyDescent="0.25">
      <c r="A3" s="327" t="s">
        <v>157</v>
      </c>
      <c r="B3" s="328"/>
      <c r="C3" s="328"/>
      <c r="D3" s="328"/>
      <c r="E3" s="329"/>
      <c r="F3" s="34"/>
      <c r="G3" s="34"/>
      <c r="H3" s="34"/>
      <c r="I3" s="34"/>
      <c r="J3" s="34"/>
      <c r="K3" s="34"/>
      <c r="L3" s="34"/>
      <c r="M3" s="34"/>
      <c r="N3" s="34"/>
      <c r="O3" s="34"/>
      <c r="P3" s="34"/>
      <c r="Q3" s="34"/>
      <c r="R3" s="34"/>
    </row>
    <row r="4" spans="1:18" ht="37.15" customHeight="1" thickBot="1" x14ac:dyDescent="0.3">
      <c r="A4" s="330"/>
      <c r="B4" s="331"/>
      <c r="C4" s="331"/>
      <c r="D4" s="331"/>
      <c r="E4" s="332"/>
      <c r="F4" s="34"/>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s="151" customFormat="1" ht="24.95" customHeight="1" x14ac:dyDescent="0.25">
      <c r="A6" s="346" t="s">
        <v>113</v>
      </c>
      <c r="B6" s="347"/>
      <c r="C6" s="347"/>
      <c r="D6" s="346" t="s">
        <v>135</v>
      </c>
      <c r="E6" s="347"/>
      <c r="F6" s="347"/>
      <c r="G6" s="347"/>
      <c r="H6" s="347"/>
      <c r="I6" s="347"/>
      <c r="J6" s="347"/>
      <c r="K6" s="347"/>
      <c r="L6" s="348"/>
      <c r="M6" s="346" t="s">
        <v>136</v>
      </c>
      <c r="N6" s="347"/>
      <c r="O6" s="347"/>
      <c r="P6" s="349"/>
      <c r="Q6" s="348"/>
      <c r="R6" s="150"/>
    </row>
    <row r="7" spans="1:18" s="157" customFormat="1" ht="30" customHeight="1" thickBot="1" x14ac:dyDescent="0.3">
      <c r="A7" s="120" t="s">
        <v>158</v>
      </c>
      <c r="B7" s="121" t="s">
        <v>43</v>
      </c>
      <c r="C7" s="121" t="s">
        <v>45</v>
      </c>
      <c r="D7" s="120" t="s">
        <v>159</v>
      </c>
      <c r="E7" s="121" t="s">
        <v>61</v>
      </c>
      <c r="F7" s="121" t="s">
        <v>160</v>
      </c>
      <c r="G7" s="121" t="s">
        <v>57</v>
      </c>
      <c r="H7" s="121" t="s">
        <v>154</v>
      </c>
      <c r="I7" s="121" t="s">
        <v>161</v>
      </c>
      <c r="J7" s="121" t="s">
        <v>162</v>
      </c>
      <c r="K7" s="121" t="s">
        <v>163</v>
      </c>
      <c r="L7" s="122" t="s">
        <v>63</v>
      </c>
      <c r="M7" s="152" t="s">
        <v>142</v>
      </c>
      <c r="N7" s="153" t="s">
        <v>102</v>
      </c>
      <c r="O7" s="153" t="s">
        <v>145</v>
      </c>
      <c r="P7" s="154" t="s">
        <v>143</v>
      </c>
      <c r="Q7" s="155" t="s">
        <v>144</v>
      </c>
      <c r="R7" s="156"/>
    </row>
    <row r="8" spans="1:18" ht="15.75" thickBot="1" x14ac:dyDescent="0.3">
      <c r="A8" s="124">
        <v>1</v>
      </c>
      <c r="B8" s="45"/>
      <c r="C8" s="45"/>
      <c r="D8" s="51"/>
      <c r="E8" s="45"/>
      <c r="F8" s="167" t="e">
        <f>VLOOKUP(E8,'Lookup Tables'!J3:P14,'Lookup Tables'!K16,FALSE)</f>
        <v>#N/A</v>
      </c>
      <c r="G8" s="45"/>
      <c r="H8" s="137" t="str">
        <f>IFERROR(VLOOKUP(G8,AverageCompressorkWCFM[#All],2,FALSE),"")</f>
        <v/>
      </c>
      <c r="I8" s="137">
        <v>146</v>
      </c>
      <c r="J8" s="137" t="str">
        <f>IFERROR(VLOOKUP(C8,AdjustmantFactor[#All],2,FALSE),"")</f>
        <v/>
      </c>
      <c r="K8" s="137">
        <v>0.75</v>
      </c>
      <c r="L8" s="47"/>
      <c r="M8" s="158" t="e">
        <f>IF('Project Summary'!$E$25=0,INDEX(CMPHours[Hours],MATCH('Condensate Drains'!C8,CMPHours[Building Schedule],0)),'Project Summary'!$E$25)</f>
        <v>#N/A</v>
      </c>
      <c r="N8" s="159" t="e">
        <f>IF('Project Summary'!$E$26=0,INDEX(CMPCF[%],MATCH('Condensate Drains'!C8,CMPCF[Building Schedule],0)),'Project Summary'!$E$26)</f>
        <v>#N/A</v>
      </c>
      <c r="O8" s="160">
        <f>IFERROR(ROUND(F8*H8*I8*J8*K8*L8,4),0)</f>
        <v>0</v>
      </c>
      <c r="P8" s="160">
        <f>IFERROR(ROUND((O8/M8),6),0)</f>
        <v>0</v>
      </c>
      <c r="Q8" s="161">
        <f>IFERROR(ROUND((O8/M8)*N8,4),0)</f>
        <v>0</v>
      </c>
      <c r="R8" s="34"/>
    </row>
    <row r="9" spans="1:18" ht="15.75" thickBot="1" x14ac:dyDescent="0.3">
      <c r="A9" s="124">
        <v>2</v>
      </c>
      <c r="B9" s="45"/>
      <c r="C9" s="45"/>
      <c r="D9" s="51"/>
      <c r="E9" s="45"/>
      <c r="F9" s="167" t="e">
        <f>VLOOKUP(E9,'Lookup Tables'!J4:P15,'Lookup Tables'!K17,FALSE)</f>
        <v>#N/A</v>
      </c>
      <c r="G9" s="45"/>
      <c r="H9" s="137" t="str">
        <f>IFERROR(VLOOKUP(G9,AverageCompressorkWCFM[#All],2,FALSE),"")</f>
        <v/>
      </c>
      <c r="I9" s="137">
        <v>146</v>
      </c>
      <c r="J9" s="137" t="str">
        <f>IFERROR(VLOOKUP(C9,AdjustmantFactor[#All],2,FALSE),"")</f>
        <v/>
      </c>
      <c r="K9" s="137">
        <v>0.75</v>
      </c>
      <c r="L9" s="47"/>
      <c r="M9" s="124" t="e">
        <f>IF('Project Summary'!$E$25=0,INDEX(CMPHours[Hours],MATCH('Condensate Drains'!C9,CMPHours[Building Schedule],0)),'Project Summary'!$E$25)</f>
        <v>#N/A</v>
      </c>
      <c r="N9" s="125" t="e">
        <f>IF('Project Summary'!$E$26=0,INDEX(CMPCF[%],MATCH('Condensate Drains'!C9,CMPCF[Building Schedule],0)),'Project Summary'!$E$26)</f>
        <v>#N/A</v>
      </c>
      <c r="O9" s="160">
        <f t="shared" ref="O9:O17" si="0">IFERROR(ROUND(F9*H9*I9*J9*K9*L9,4),0)</f>
        <v>0</v>
      </c>
      <c r="P9" s="160">
        <f t="shared" ref="P9:P17" si="1">IFERROR(ROUND((O9/M9),6),0)</f>
        <v>0</v>
      </c>
      <c r="Q9" s="161">
        <f t="shared" ref="Q9:Q17" si="2">IFERROR(ROUND((O9/M9)*N9,4),0)</f>
        <v>0</v>
      </c>
      <c r="R9" s="34"/>
    </row>
    <row r="10" spans="1:18" ht="15.75" thickBot="1" x14ac:dyDescent="0.3">
      <c r="A10" s="124">
        <v>3</v>
      </c>
      <c r="B10" s="45"/>
      <c r="C10" s="45"/>
      <c r="D10" s="51"/>
      <c r="E10" s="45"/>
      <c r="F10" s="167" t="e">
        <f>VLOOKUP(E10,'Lookup Tables'!J5:P16,'Lookup Tables'!K18,FALSE)</f>
        <v>#N/A</v>
      </c>
      <c r="G10" s="45"/>
      <c r="H10" s="137" t="str">
        <f>IFERROR(VLOOKUP(G10,AverageCompressorkWCFM[#All],2,FALSE),"")</f>
        <v/>
      </c>
      <c r="I10" s="137">
        <v>146</v>
      </c>
      <c r="J10" s="137" t="str">
        <f>IFERROR(VLOOKUP(C10,AdjustmantFactor[#All],2,FALSE),"")</f>
        <v/>
      </c>
      <c r="K10" s="137">
        <v>0.75</v>
      </c>
      <c r="L10" s="47"/>
      <c r="M10" s="124" t="e">
        <f>IF('Project Summary'!$E$25=0,INDEX(CMPHours[Hours],MATCH('Condensate Drains'!C10,CMPHours[Building Schedule],0)),'Project Summary'!$E$25)</f>
        <v>#N/A</v>
      </c>
      <c r="N10" s="125" t="e">
        <f>IF('Project Summary'!$E$26=0,INDEX(CMPCF[%],MATCH('Condensate Drains'!C10,CMPCF[Building Schedule],0)),'Project Summary'!$E$26)</f>
        <v>#N/A</v>
      </c>
      <c r="O10" s="160">
        <f t="shared" si="0"/>
        <v>0</v>
      </c>
      <c r="P10" s="160">
        <f t="shared" si="1"/>
        <v>0</v>
      </c>
      <c r="Q10" s="161">
        <f t="shared" si="2"/>
        <v>0</v>
      </c>
      <c r="R10" s="34"/>
    </row>
    <row r="11" spans="1:18" ht="15.75" thickBot="1" x14ac:dyDescent="0.3">
      <c r="A11" s="124">
        <v>4</v>
      </c>
      <c r="B11" s="45"/>
      <c r="C11" s="45"/>
      <c r="D11" s="51"/>
      <c r="E11" s="45"/>
      <c r="F11" s="167" t="e">
        <f>VLOOKUP(E11,'Lookup Tables'!J6:P17,'Lookup Tables'!K19,FALSE)</f>
        <v>#N/A</v>
      </c>
      <c r="G11" s="45"/>
      <c r="H11" s="137" t="str">
        <f>IFERROR(VLOOKUP(G11,AverageCompressorkWCFM[#All],2,FALSE),"")</f>
        <v/>
      </c>
      <c r="I11" s="137">
        <v>146</v>
      </c>
      <c r="J11" s="137" t="str">
        <f>IFERROR(VLOOKUP(C11,AdjustmantFactor[#All],2,FALSE),"")</f>
        <v/>
      </c>
      <c r="K11" s="137">
        <v>0.75</v>
      </c>
      <c r="L11" s="47"/>
      <c r="M11" s="124" t="e">
        <f>IF('Project Summary'!$E$25=0,INDEX(CMPHours[Hours],MATCH('Condensate Drains'!C11,CMPHours[Building Schedule],0)),'Project Summary'!$E$25)</f>
        <v>#N/A</v>
      </c>
      <c r="N11" s="125" t="e">
        <f>IF('Project Summary'!$E$26=0,INDEX(CMPCF[%],MATCH('Condensate Drains'!C11,CMPCF[Building Schedule],0)),'Project Summary'!$E$26)</f>
        <v>#N/A</v>
      </c>
      <c r="O11" s="160">
        <f t="shared" si="0"/>
        <v>0</v>
      </c>
      <c r="P11" s="160">
        <f t="shared" si="1"/>
        <v>0</v>
      </c>
      <c r="Q11" s="161">
        <f t="shared" si="2"/>
        <v>0</v>
      </c>
      <c r="R11" s="34"/>
    </row>
    <row r="12" spans="1:18" ht="15.75" thickBot="1" x14ac:dyDescent="0.3">
      <c r="A12" s="124">
        <v>5</v>
      </c>
      <c r="B12" s="45"/>
      <c r="C12" s="45"/>
      <c r="D12" s="51"/>
      <c r="E12" s="45"/>
      <c r="F12" s="167" t="e">
        <f>VLOOKUP(E12,'Lookup Tables'!J7:P18,'Lookup Tables'!K20,FALSE)</f>
        <v>#N/A</v>
      </c>
      <c r="G12" s="45"/>
      <c r="H12" s="137" t="str">
        <f>IFERROR(VLOOKUP(G12,AverageCompressorkWCFM[#All],2,FALSE),"")</f>
        <v/>
      </c>
      <c r="I12" s="137">
        <v>146</v>
      </c>
      <c r="J12" s="137" t="str">
        <f>IFERROR(VLOOKUP(C12,AdjustmantFactor[#All],2,FALSE),"")</f>
        <v/>
      </c>
      <c r="K12" s="137">
        <v>0.75</v>
      </c>
      <c r="L12" s="47"/>
      <c r="M12" s="124" t="e">
        <f>IF('Project Summary'!$E$25=0,INDEX(CMPHours[Hours],MATCH('Condensate Drains'!C12,CMPHours[Building Schedule],0)),'Project Summary'!$E$25)</f>
        <v>#N/A</v>
      </c>
      <c r="N12" s="125" t="e">
        <f>IF('Project Summary'!$E$26=0,INDEX(CMPCF[%],MATCH('Condensate Drains'!C12,CMPCF[Building Schedule],0)),'Project Summary'!$E$26)</f>
        <v>#N/A</v>
      </c>
      <c r="O12" s="160">
        <f t="shared" si="0"/>
        <v>0</v>
      </c>
      <c r="P12" s="160">
        <f t="shared" si="1"/>
        <v>0</v>
      </c>
      <c r="Q12" s="161">
        <f t="shared" si="2"/>
        <v>0</v>
      </c>
      <c r="R12" s="34"/>
    </row>
    <row r="13" spans="1:18" ht="15.75" thickBot="1" x14ac:dyDescent="0.3">
      <c r="A13" s="124">
        <v>6</v>
      </c>
      <c r="B13" s="45"/>
      <c r="C13" s="45"/>
      <c r="D13" s="51"/>
      <c r="E13" s="45"/>
      <c r="F13" s="167" t="e">
        <f>VLOOKUP(E13,'Lookup Tables'!J8:P19,'Lookup Tables'!K21,FALSE)</f>
        <v>#N/A</v>
      </c>
      <c r="G13" s="45"/>
      <c r="H13" s="137" t="str">
        <f>IFERROR(VLOOKUP(G13,AverageCompressorkWCFM[#All],2,FALSE),"")</f>
        <v/>
      </c>
      <c r="I13" s="137">
        <v>146</v>
      </c>
      <c r="J13" s="137" t="str">
        <f>IFERROR(VLOOKUP(C13,AdjustmantFactor[#All],2,FALSE),"")</f>
        <v/>
      </c>
      <c r="K13" s="137">
        <v>0.75</v>
      </c>
      <c r="L13" s="47"/>
      <c r="M13" s="124" t="e">
        <f>IF('Project Summary'!$E$25=0,INDEX(CMPHours[Hours],MATCH('Condensate Drains'!C13,CMPHours[Building Schedule],0)),'Project Summary'!$E$25)</f>
        <v>#N/A</v>
      </c>
      <c r="N13" s="125" t="e">
        <f>IF('Project Summary'!$E$26=0,INDEX(CMPCF[%],MATCH('Condensate Drains'!C13,CMPCF[Building Schedule],0)),'Project Summary'!$E$26)</f>
        <v>#N/A</v>
      </c>
      <c r="O13" s="160">
        <f t="shared" si="0"/>
        <v>0</v>
      </c>
      <c r="P13" s="160">
        <f t="shared" si="1"/>
        <v>0</v>
      </c>
      <c r="Q13" s="161">
        <f t="shared" si="2"/>
        <v>0</v>
      </c>
      <c r="R13" s="34"/>
    </row>
    <row r="14" spans="1:18" ht="15.75" thickBot="1" x14ac:dyDescent="0.3">
      <c r="A14" s="124">
        <v>7</v>
      </c>
      <c r="B14" s="45"/>
      <c r="C14" s="45"/>
      <c r="D14" s="51"/>
      <c r="E14" s="45"/>
      <c r="F14" s="167" t="e">
        <f>VLOOKUP(E14,'Lookup Tables'!J9:P20,'Lookup Tables'!K22,FALSE)</f>
        <v>#N/A</v>
      </c>
      <c r="G14" s="45"/>
      <c r="H14" s="137" t="str">
        <f>IFERROR(VLOOKUP(G14,AverageCompressorkWCFM[#All],2,FALSE),"")</f>
        <v/>
      </c>
      <c r="I14" s="137">
        <v>146</v>
      </c>
      <c r="J14" s="137" t="str">
        <f>IFERROR(VLOOKUP(C14,AdjustmantFactor[#All],2,FALSE),"")</f>
        <v/>
      </c>
      <c r="K14" s="137">
        <v>0.75</v>
      </c>
      <c r="L14" s="47"/>
      <c r="M14" s="124" t="e">
        <f>IF('Project Summary'!$E$25=0,INDEX(CMPHours[Hours],MATCH('Condensate Drains'!C14,CMPHours[Building Schedule],0)),'Project Summary'!$E$25)</f>
        <v>#N/A</v>
      </c>
      <c r="N14" s="125" t="e">
        <f>IF('Project Summary'!$E$26=0,INDEX(CMPCF[%],MATCH('Condensate Drains'!C14,CMPCF[Building Schedule],0)),'Project Summary'!$E$26)</f>
        <v>#N/A</v>
      </c>
      <c r="O14" s="160">
        <f t="shared" si="0"/>
        <v>0</v>
      </c>
      <c r="P14" s="160">
        <f t="shared" si="1"/>
        <v>0</v>
      </c>
      <c r="Q14" s="161">
        <f t="shared" si="2"/>
        <v>0</v>
      </c>
      <c r="R14" s="34"/>
    </row>
    <row r="15" spans="1:18" ht="15.75" thickBot="1" x14ac:dyDescent="0.3">
      <c r="A15" s="124">
        <v>8</v>
      </c>
      <c r="B15" s="45"/>
      <c r="C15" s="45"/>
      <c r="D15" s="51"/>
      <c r="E15" s="45"/>
      <c r="F15" s="167" t="e">
        <f>VLOOKUP(E15,'Lookup Tables'!J10:P21,'Lookup Tables'!K23,FALSE)</f>
        <v>#N/A</v>
      </c>
      <c r="G15" s="45"/>
      <c r="H15" s="137" t="str">
        <f>IFERROR(VLOOKUP(G15,AverageCompressorkWCFM[#All],2,FALSE),"")</f>
        <v/>
      </c>
      <c r="I15" s="137">
        <v>146</v>
      </c>
      <c r="J15" s="137" t="str">
        <f>IFERROR(VLOOKUP(C15,AdjustmantFactor[#All],2,FALSE),"")</f>
        <v/>
      </c>
      <c r="K15" s="137">
        <v>0.75</v>
      </c>
      <c r="L15" s="47"/>
      <c r="M15" s="124" t="e">
        <f>IF('Project Summary'!$E$25=0,INDEX(CMPHours[Hours],MATCH('Condensate Drains'!C15,CMPHours[Building Schedule],0)),'Project Summary'!$E$25)</f>
        <v>#N/A</v>
      </c>
      <c r="N15" s="125" t="e">
        <f>IF('Project Summary'!$E$26=0,INDEX(CMPCF[%],MATCH('Condensate Drains'!C15,CMPCF[Building Schedule],0)),'Project Summary'!$E$26)</f>
        <v>#N/A</v>
      </c>
      <c r="O15" s="160">
        <f t="shared" si="0"/>
        <v>0</v>
      </c>
      <c r="P15" s="160">
        <f t="shared" si="1"/>
        <v>0</v>
      </c>
      <c r="Q15" s="161">
        <f t="shared" si="2"/>
        <v>0</v>
      </c>
      <c r="R15" s="34"/>
    </row>
    <row r="16" spans="1:18" ht="15.75" thickBot="1" x14ac:dyDescent="0.3">
      <c r="A16" s="124">
        <v>9</v>
      </c>
      <c r="B16" s="45"/>
      <c r="C16" s="45"/>
      <c r="D16" s="51"/>
      <c r="E16" s="45"/>
      <c r="F16" s="167" t="e">
        <f>VLOOKUP(E16,'Lookup Tables'!J11:P22,'Lookup Tables'!K24,FALSE)</f>
        <v>#N/A</v>
      </c>
      <c r="G16" s="45"/>
      <c r="H16" s="137" t="str">
        <f>IFERROR(VLOOKUP(G16,AverageCompressorkWCFM[#All],2,FALSE),"")</f>
        <v/>
      </c>
      <c r="I16" s="137">
        <v>146</v>
      </c>
      <c r="J16" s="137" t="str">
        <f>IFERROR(VLOOKUP(C16,AdjustmantFactor[#All],2,FALSE),"")</f>
        <v/>
      </c>
      <c r="K16" s="137">
        <v>0.75</v>
      </c>
      <c r="L16" s="47"/>
      <c r="M16" s="124" t="e">
        <f>IF('Project Summary'!$E$25=0,INDEX(CMPHours[Hours],MATCH('Condensate Drains'!C16,CMPHours[Building Schedule],0)),'Project Summary'!$E$25)</f>
        <v>#N/A</v>
      </c>
      <c r="N16" s="125" t="e">
        <f>IF('Project Summary'!$E$26=0,INDEX(CMPCF[%],MATCH('Condensate Drains'!C16,CMPCF[Building Schedule],0)),'Project Summary'!$E$26)</f>
        <v>#N/A</v>
      </c>
      <c r="O16" s="160">
        <f t="shared" si="0"/>
        <v>0</v>
      </c>
      <c r="P16" s="160">
        <f t="shared" si="1"/>
        <v>0</v>
      </c>
      <c r="Q16" s="161">
        <f t="shared" si="2"/>
        <v>0</v>
      </c>
      <c r="R16" s="34"/>
    </row>
    <row r="17" spans="1:18" ht="15.75" thickBot="1" x14ac:dyDescent="0.3">
      <c r="A17" s="128">
        <v>10</v>
      </c>
      <c r="B17" s="46"/>
      <c r="C17" s="46"/>
      <c r="D17" s="52"/>
      <c r="E17" s="46"/>
      <c r="F17" s="168" t="e">
        <f>VLOOKUP(E17,'Lookup Tables'!J12:P23,'Lookup Tables'!K25,FALSE)</f>
        <v>#N/A</v>
      </c>
      <c r="G17" s="46"/>
      <c r="H17" s="137" t="str">
        <f>IFERROR(VLOOKUP(G17,AverageCompressorkWCFM[#All],2,FALSE),"")</f>
        <v/>
      </c>
      <c r="I17" s="162">
        <v>146</v>
      </c>
      <c r="J17" s="137" t="str">
        <f>IFERROR(VLOOKUP(C17,AdjustmantFactor[#All],2,FALSE),"")</f>
        <v/>
      </c>
      <c r="K17" s="162">
        <v>0.75</v>
      </c>
      <c r="L17" s="49"/>
      <c r="M17" s="128" t="e">
        <f>IF('Project Summary'!$E$25=0,INDEX(CMPHours[Hours],MATCH('Condensate Drains'!C17,CMPHours[Building Schedule],0)),'Project Summary'!$E$25)</f>
        <v>#N/A</v>
      </c>
      <c r="N17" s="130" t="e">
        <f>IF('Project Summary'!$E$26=0,INDEX(CMPCF[%],MATCH('Condensate Drains'!C17,CMPCF[Building Schedule],0)),'Project Summary'!$E$26)</f>
        <v>#N/A</v>
      </c>
      <c r="O17" s="160">
        <f t="shared" si="0"/>
        <v>0</v>
      </c>
      <c r="P17" s="160">
        <f t="shared" si="1"/>
        <v>0</v>
      </c>
      <c r="Q17" s="161">
        <f t="shared" si="2"/>
        <v>0</v>
      </c>
      <c r="R17" s="34"/>
    </row>
    <row r="18" spans="1:18" hidden="1" x14ac:dyDescent="0.25">
      <c r="A18" s="144" t="s">
        <v>164</v>
      </c>
      <c r="B18" s="145"/>
      <c r="C18" s="145"/>
      <c r="D18" s="145"/>
      <c r="E18" s="145"/>
      <c r="F18" s="145"/>
      <c r="G18" s="145"/>
      <c r="H18" s="145"/>
      <c r="I18" s="145"/>
      <c r="J18" s="145"/>
      <c r="K18" s="145"/>
      <c r="L18" s="163">
        <f>SUM(L8:L17)</f>
        <v>0</v>
      </c>
      <c r="M18" s="145"/>
      <c r="N18" s="145"/>
      <c r="O18" s="164">
        <f>SUM(O8:O17)</f>
        <v>0</v>
      </c>
      <c r="P18" s="165"/>
      <c r="Q18" s="166">
        <f>SUM(Q8:Q17)</f>
        <v>0</v>
      </c>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DnmGYcH5lmFsdm+EqIdec8dT4wlXLj5WE8XPo71/txGnIsAV1paF7i11DFEAJr8RvOLGuVHhbJPVtjTtSSQlZw==" saltValue="/F8JfNFK1++ZHJ4uPxGR2Q==" spinCount="100000" sheet="1" selectLockedCells="1"/>
  <mergeCells count="5">
    <mergeCell ref="A6:C6"/>
    <mergeCell ref="D6:L6"/>
    <mergeCell ref="M6:Q6"/>
    <mergeCell ref="A2:E2"/>
    <mergeCell ref="A3:E4"/>
  </mergeCells>
  <conditionalFormatting sqref="I8:I17">
    <cfRule type="cellIs" dxfId="1" priority="2" operator="notEqual">
      <formula>146</formula>
    </cfRule>
  </conditionalFormatting>
  <conditionalFormatting sqref="K8:K17">
    <cfRule type="cellIs" dxfId="0" priority="1" operator="notEqual">
      <formula>0.75</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'Lookup Tables'!$K$4:$P$4</xm:f>
          </x14:formula1>
          <xm:sqref>D8:D17</xm:sqref>
        </x14:dataValidation>
        <x14:dataValidation type="list" allowBlank="1" showInputMessage="1" showErrorMessage="1" xr:uid="{00000000-0002-0000-0500-000002000000}">
          <x14:formula1>
            <xm:f>'Lookup Tables'!$J$5:$J$14</xm:f>
          </x14:formula1>
          <xm:sqref>E8:E17</xm:sqref>
        </x14:dataValidation>
        <x14:dataValidation type="list" allowBlank="1" showInputMessage="1" showErrorMessage="1" xr:uid="{00000000-0002-0000-0500-000003000000}">
          <x14:formula1>
            <xm:f>'Lookup Tables'!$G$4:$G$8</xm:f>
          </x14:formula1>
          <xm:sqref>G8:G17</xm:sqref>
        </x14:dataValidation>
        <x14:dataValidation type="list" allowBlank="1" showInputMessage="1" showErrorMessage="1" xr:uid="{00000000-0002-0000-0500-000000000000}">
          <x14:formula1>
            <xm:f>'Lookup Tables'!$A$11:$A$14</xm:f>
          </x14:formula1>
          <xm:sqref>C8:C17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20"/>
  <sheetViews>
    <sheetView workbookViewId="0">
      <selection activeCell="B8" sqref="B8"/>
    </sheetView>
  </sheetViews>
  <sheetFormatPr defaultRowHeight="15" x14ac:dyDescent="0.25"/>
  <cols>
    <col min="1" max="1" width="5.28515625" customWidth="1"/>
    <col min="2" max="2" width="27.5703125" customWidth="1"/>
    <col min="3" max="3" width="27.42578125" customWidth="1"/>
    <col min="4" max="4" width="18" customWidth="1"/>
    <col min="5" max="5" width="13.7109375" customWidth="1"/>
    <col min="6" max="6" width="13.28515625" customWidth="1"/>
    <col min="7" max="7" width="17" customWidth="1"/>
    <col min="8" max="8" width="13.140625" customWidth="1"/>
    <col min="9" max="9" width="14.7109375" customWidth="1"/>
    <col min="10" max="10" width="23.28515625" customWidth="1"/>
    <col min="11" max="11" width="11.85546875" customWidth="1"/>
    <col min="12" max="12" width="10" hidden="1" customWidth="1"/>
    <col min="13" max="13" width="11.85546875" hidden="1" customWidth="1"/>
    <col min="14" max="14" width="11.7109375" customWidth="1"/>
    <col min="15" max="15" width="14.140625" customWidth="1"/>
    <col min="16" max="16" width="10.57031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50" t="s">
        <v>165</v>
      </c>
      <c r="B2" s="351"/>
      <c r="C2" s="351"/>
      <c r="D2" s="351"/>
      <c r="E2" s="351"/>
      <c r="F2" s="352"/>
      <c r="G2" s="34"/>
      <c r="H2" s="34"/>
      <c r="I2" s="34"/>
      <c r="J2" s="34"/>
      <c r="K2" s="34"/>
      <c r="L2" s="34"/>
      <c r="M2" s="34"/>
      <c r="N2" s="34"/>
      <c r="O2" s="34"/>
      <c r="P2" s="34"/>
      <c r="Q2" s="34"/>
      <c r="R2" s="34"/>
    </row>
    <row r="3" spans="1:18" ht="32.450000000000003" customHeight="1" x14ac:dyDescent="0.25">
      <c r="A3" s="327" t="s">
        <v>166</v>
      </c>
      <c r="B3" s="328"/>
      <c r="C3" s="328"/>
      <c r="D3" s="328"/>
      <c r="E3" s="328"/>
      <c r="F3" s="329"/>
      <c r="G3" s="34"/>
      <c r="H3" s="34"/>
      <c r="I3" s="34"/>
      <c r="J3" s="34"/>
      <c r="K3" s="34"/>
      <c r="L3" s="34"/>
      <c r="M3" s="34"/>
      <c r="N3" s="34"/>
      <c r="O3" s="34"/>
      <c r="P3" s="34"/>
      <c r="Q3" s="34"/>
      <c r="R3" s="34"/>
    </row>
    <row r="4" spans="1:18" ht="32.450000000000003" customHeight="1" thickBot="1" x14ac:dyDescent="0.3">
      <c r="A4" s="330"/>
      <c r="B4" s="331"/>
      <c r="C4" s="331"/>
      <c r="D4" s="331"/>
      <c r="E4" s="331"/>
      <c r="F4" s="332"/>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ht="24.95" customHeight="1" x14ac:dyDescent="0.25">
      <c r="A6" s="346" t="s">
        <v>113</v>
      </c>
      <c r="B6" s="347"/>
      <c r="C6" s="347"/>
      <c r="D6" s="353" t="s">
        <v>135</v>
      </c>
      <c r="E6" s="354"/>
      <c r="F6" s="354"/>
      <c r="G6" s="354"/>
      <c r="H6" s="354"/>
      <c r="I6" s="354"/>
      <c r="J6" s="354"/>
      <c r="K6" s="355"/>
      <c r="L6" s="346" t="s">
        <v>136</v>
      </c>
      <c r="M6" s="347"/>
      <c r="N6" s="347"/>
      <c r="O6" s="349"/>
      <c r="P6" s="348"/>
      <c r="Q6" s="34"/>
      <c r="R6" s="34"/>
    </row>
    <row r="7" spans="1:18" s="108" customFormat="1" ht="30" customHeight="1" x14ac:dyDescent="0.25">
      <c r="A7" s="120" t="s">
        <v>118</v>
      </c>
      <c r="B7" s="121" t="s">
        <v>43</v>
      </c>
      <c r="C7" s="121" t="s">
        <v>45</v>
      </c>
      <c r="D7" s="120" t="s">
        <v>167</v>
      </c>
      <c r="E7" s="121" t="s">
        <v>168</v>
      </c>
      <c r="F7" s="121" t="s">
        <v>169</v>
      </c>
      <c r="G7" s="121" t="s">
        <v>170</v>
      </c>
      <c r="H7" s="121" t="s">
        <v>171</v>
      </c>
      <c r="I7" s="121" t="s">
        <v>172</v>
      </c>
      <c r="J7" s="121" t="s">
        <v>173</v>
      </c>
      <c r="K7" s="122" t="s">
        <v>174</v>
      </c>
      <c r="L7" s="120" t="s">
        <v>142</v>
      </c>
      <c r="M7" s="121" t="s">
        <v>102</v>
      </c>
      <c r="N7" s="121" t="s">
        <v>145</v>
      </c>
      <c r="O7" s="136" t="s">
        <v>175</v>
      </c>
      <c r="P7" s="122" t="s">
        <v>144</v>
      </c>
      <c r="Q7" s="123"/>
      <c r="R7" s="123"/>
    </row>
    <row r="8" spans="1:18" x14ac:dyDescent="0.25">
      <c r="A8" s="124">
        <v>1</v>
      </c>
      <c r="B8" s="45"/>
      <c r="C8" s="45"/>
      <c r="D8" s="53"/>
      <c r="E8" s="45"/>
      <c r="F8" s="45"/>
      <c r="G8" s="110">
        <v>0.746</v>
      </c>
      <c r="H8" s="110">
        <v>0.92</v>
      </c>
      <c r="I8" s="169">
        <v>0.1</v>
      </c>
      <c r="J8" s="110">
        <v>0.91</v>
      </c>
      <c r="K8" s="170">
        <f>IFERROR(E8/F8,0)</f>
        <v>0</v>
      </c>
      <c r="L8" s="124" t="e">
        <f>IF('Project Summary'!$E$25=0,INDEX(CMPHours[Hours],MATCH('Air Tanks'!C8,CMPHours[Building Schedule],0)),'Project Summary'!$E$25)</f>
        <v>#N/A</v>
      </c>
      <c r="M8" s="125" t="e">
        <f>IF('Project Summary'!$E$26=0,INDEX(CMPCF[%],MATCH('Air Tanks'!C8,CMPCF[Building Schedule],0)),'Project Summary'!$E$26)</f>
        <v>#N/A</v>
      </c>
      <c r="N8" s="141">
        <f>IFERROR(ROUND(IF(K8&lt;4,0,(D8*G8*H8*I8*L8)/J8),4),0)</f>
        <v>0</v>
      </c>
      <c r="O8" s="142">
        <f>IFERROR(ROUND((N8/L8),6),0)</f>
        <v>0</v>
      </c>
      <c r="P8" s="143">
        <f>IFERROR(ROUND((N8/L8)*M8,6),0)</f>
        <v>0</v>
      </c>
      <c r="Q8" s="34"/>
      <c r="R8" s="34"/>
    </row>
    <row r="9" spans="1:18" x14ac:dyDescent="0.25">
      <c r="A9" s="124">
        <v>2</v>
      </c>
      <c r="B9" s="45"/>
      <c r="C9" s="45"/>
      <c r="D9" s="53"/>
      <c r="E9" s="45"/>
      <c r="F9" s="45"/>
      <c r="G9" s="110">
        <v>0.746</v>
      </c>
      <c r="H9" s="110">
        <v>0.92</v>
      </c>
      <c r="I9" s="169">
        <v>0.1</v>
      </c>
      <c r="J9" s="110">
        <v>0.91</v>
      </c>
      <c r="K9" s="170">
        <f t="shared" ref="K9:K17" si="0">IFERROR(E9/F9,0)</f>
        <v>0</v>
      </c>
      <c r="L9" s="124" t="e">
        <f>IF('Project Summary'!$E$25=0,INDEX(CMPHours[Hours],MATCH('Air Tanks'!C9,CMPHours[Building Schedule],0)),'Project Summary'!$E$25)</f>
        <v>#N/A</v>
      </c>
      <c r="M9" s="125" t="e">
        <f>IF('Project Summary'!$E$26=0,INDEX(CMPCF[%],MATCH('Air Tanks'!C9,CMPCF[Building Schedule],0)),'Project Summary'!$E$26)</f>
        <v>#N/A</v>
      </c>
      <c r="N9" s="141">
        <f t="shared" ref="N9:N17" si="1">IFERROR(ROUND(IF(K9&lt;4,0,(D9*G9*H9*I9*L9)/J9),4),0)</f>
        <v>0</v>
      </c>
      <c r="O9" s="142">
        <f t="shared" ref="O9:O17" si="2">IFERROR(ROUND((N9/L9),6),0)</f>
        <v>0</v>
      </c>
      <c r="P9" s="143">
        <f t="shared" ref="P9:P17" si="3">IFERROR(ROUND((N9/L9)*M9,6),0)</f>
        <v>0</v>
      </c>
      <c r="Q9" s="34"/>
      <c r="R9" s="34"/>
    </row>
    <row r="10" spans="1:18" x14ac:dyDescent="0.25">
      <c r="A10" s="124">
        <v>3</v>
      </c>
      <c r="B10" s="45"/>
      <c r="C10" s="45"/>
      <c r="D10" s="53"/>
      <c r="E10" s="45"/>
      <c r="F10" s="45"/>
      <c r="G10" s="110">
        <v>0.746</v>
      </c>
      <c r="H10" s="110">
        <v>0.92</v>
      </c>
      <c r="I10" s="169">
        <v>0.1</v>
      </c>
      <c r="J10" s="110">
        <v>0.91</v>
      </c>
      <c r="K10" s="170">
        <f t="shared" si="0"/>
        <v>0</v>
      </c>
      <c r="L10" s="124" t="e">
        <f>IF('Project Summary'!$E$25=0,INDEX(CMPHours[Hours],MATCH('Air Tanks'!C10,CMPHours[Building Schedule],0)),'Project Summary'!$E$25)</f>
        <v>#N/A</v>
      </c>
      <c r="M10" s="125" t="e">
        <f>IF('Project Summary'!$E$26=0,INDEX(CMPCF[%],MATCH('Air Tanks'!C10,CMPCF[Building Schedule],0)),'Project Summary'!$E$26)</f>
        <v>#N/A</v>
      </c>
      <c r="N10" s="141">
        <f t="shared" si="1"/>
        <v>0</v>
      </c>
      <c r="O10" s="142">
        <f t="shared" si="2"/>
        <v>0</v>
      </c>
      <c r="P10" s="143">
        <f t="shared" si="3"/>
        <v>0</v>
      </c>
      <c r="Q10" s="34"/>
      <c r="R10" s="34"/>
    </row>
    <row r="11" spans="1:18" x14ac:dyDescent="0.25">
      <c r="A11" s="124">
        <v>4</v>
      </c>
      <c r="B11" s="45"/>
      <c r="C11" s="45"/>
      <c r="D11" s="53"/>
      <c r="E11" s="45"/>
      <c r="F11" s="45"/>
      <c r="G11" s="110">
        <v>0.746</v>
      </c>
      <c r="H11" s="110">
        <v>0.92</v>
      </c>
      <c r="I11" s="169">
        <v>0.1</v>
      </c>
      <c r="J11" s="110">
        <v>0.91</v>
      </c>
      <c r="K11" s="170">
        <f t="shared" si="0"/>
        <v>0</v>
      </c>
      <c r="L11" s="124" t="e">
        <f>IF('Project Summary'!$E$25=0,INDEX(CMPHours[Hours],MATCH('Air Tanks'!C11,CMPHours[Building Schedule],0)),'Project Summary'!$E$25)</f>
        <v>#N/A</v>
      </c>
      <c r="M11" s="125" t="e">
        <f>IF('Project Summary'!$E$26=0,INDEX(CMPCF[%],MATCH('Air Tanks'!C11,CMPCF[Building Schedule],0)),'Project Summary'!$E$26)</f>
        <v>#N/A</v>
      </c>
      <c r="N11" s="141">
        <f t="shared" si="1"/>
        <v>0</v>
      </c>
      <c r="O11" s="142">
        <f t="shared" si="2"/>
        <v>0</v>
      </c>
      <c r="P11" s="143">
        <f t="shared" si="3"/>
        <v>0</v>
      </c>
      <c r="Q11" s="34"/>
      <c r="R11" s="34"/>
    </row>
    <row r="12" spans="1:18" x14ac:dyDescent="0.25">
      <c r="A12" s="124">
        <v>5</v>
      </c>
      <c r="B12" s="45"/>
      <c r="C12" s="45"/>
      <c r="D12" s="53"/>
      <c r="E12" s="45"/>
      <c r="F12" s="45"/>
      <c r="G12" s="110">
        <v>0.746</v>
      </c>
      <c r="H12" s="110">
        <v>0.92</v>
      </c>
      <c r="I12" s="169">
        <v>0.1</v>
      </c>
      <c r="J12" s="110">
        <v>0.91</v>
      </c>
      <c r="K12" s="170">
        <f t="shared" si="0"/>
        <v>0</v>
      </c>
      <c r="L12" s="124" t="e">
        <f>IF('Project Summary'!$E$25=0,INDEX(CMPHours[Hours],MATCH('Air Tanks'!C12,CMPHours[Building Schedule],0)),'Project Summary'!$E$25)</f>
        <v>#N/A</v>
      </c>
      <c r="M12" s="125" t="e">
        <f>IF('Project Summary'!$E$26=0,INDEX(CMPCF[%],MATCH('Air Tanks'!C12,CMPCF[Building Schedule],0)),'Project Summary'!$E$26)</f>
        <v>#N/A</v>
      </c>
      <c r="N12" s="141">
        <f t="shared" si="1"/>
        <v>0</v>
      </c>
      <c r="O12" s="142">
        <f t="shared" si="2"/>
        <v>0</v>
      </c>
      <c r="P12" s="143">
        <f t="shared" si="3"/>
        <v>0</v>
      </c>
      <c r="Q12" s="34"/>
      <c r="R12" s="34"/>
    </row>
    <row r="13" spans="1:18" x14ac:dyDescent="0.25">
      <c r="A13" s="124">
        <v>6</v>
      </c>
      <c r="B13" s="45"/>
      <c r="C13" s="45"/>
      <c r="D13" s="53"/>
      <c r="E13" s="45"/>
      <c r="F13" s="45"/>
      <c r="G13" s="110">
        <v>0.746</v>
      </c>
      <c r="H13" s="110">
        <v>0.92</v>
      </c>
      <c r="I13" s="169">
        <v>0.1</v>
      </c>
      <c r="J13" s="110">
        <v>0.91</v>
      </c>
      <c r="K13" s="170">
        <f t="shared" si="0"/>
        <v>0</v>
      </c>
      <c r="L13" s="124" t="e">
        <f>IF('Project Summary'!$E$25=0,INDEX(CMPHours[Hours],MATCH('Air Tanks'!C13,CMPHours[Building Schedule],0)),'Project Summary'!$E$25)</f>
        <v>#N/A</v>
      </c>
      <c r="M13" s="125" t="e">
        <f>IF('Project Summary'!$E$26=0,INDEX(CMPCF[%],MATCH('Air Tanks'!C13,CMPCF[Building Schedule],0)),'Project Summary'!$E$26)</f>
        <v>#N/A</v>
      </c>
      <c r="N13" s="141">
        <f t="shared" si="1"/>
        <v>0</v>
      </c>
      <c r="O13" s="142">
        <f t="shared" si="2"/>
        <v>0</v>
      </c>
      <c r="P13" s="143">
        <f t="shared" si="3"/>
        <v>0</v>
      </c>
      <c r="Q13" s="34"/>
      <c r="R13" s="34"/>
    </row>
    <row r="14" spans="1:18" x14ac:dyDescent="0.25">
      <c r="A14" s="124">
        <v>7</v>
      </c>
      <c r="B14" s="45"/>
      <c r="C14" s="45"/>
      <c r="D14" s="53"/>
      <c r="E14" s="45"/>
      <c r="F14" s="45"/>
      <c r="G14" s="110">
        <v>0.746</v>
      </c>
      <c r="H14" s="110">
        <v>0.92</v>
      </c>
      <c r="I14" s="169">
        <v>0.1</v>
      </c>
      <c r="J14" s="110">
        <v>0.91</v>
      </c>
      <c r="K14" s="170">
        <f t="shared" si="0"/>
        <v>0</v>
      </c>
      <c r="L14" s="124" t="e">
        <f>IF('Project Summary'!$E$25=0,INDEX(CMPHours[Hours],MATCH('Air Tanks'!C14,CMPHours[Building Schedule],0)),'Project Summary'!$E$25)</f>
        <v>#N/A</v>
      </c>
      <c r="M14" s="125" t="e">
        <f>IF('Project Summary'!$E$26=0,INDEX(CMPCF[%],MATCH('Air Tanks'!C14,CMPCF[Building Schedule],0)),'Project Summary'!$E$26)</f>
        <v>#N/A</v>
      </c>
      <c r="N14" s="141">
        <f t="shared" si="1"/>
        <v>0</v>
      </c>
      <c r="O14" s="142">
        <f t="shared" si="2"/>
        <v>0</v>
      </c>
      <c r="P14" s="143">
        <f t="shared" si="3"/>
        <v>0</v>
      </c>
      <c r="Q14" s="34"/>
      <c r="R14" s="34"/>
    </row>
    <row r="15" spans="1:18" x14ac:dyDescent="0.25">
      <c r="A15" s="124">
        <v>8</v>
      </c>
      <c r="B15" s="45"/>
      <c r="C15" s="45"/>
      <c r="D15" s="53"/>
      <c r="E15" s="45"/>
      <c r="F15" s="45"/>
      <c r="G15" s="110">
        <v>0.746</v>
      </c>
      <c r="H15" s="110">
        <v>0.92</v>
      </c>
      <c r="I15" s="169">
        <v>0.1</v>
      </c>
      <c r="J15" s="110">
        <v>0.91</v>
      </c>
      <c r="K15" s="170">
        <f t="shared" si="0"/>
        <v>0</v>
      </c>
      <c r="L15" s="124" t="e">
        <f>IF('Project Summary'!$E$25=0,INDEX(CMPHours[Hours],MATCH('Air Tanks'!C15,CMPHours[Building Schedule],0)),'Project Summary'!$E$25)</f>
        <v>#N/A</v>
      </c>
      <c r="M15" s="125" t="e">
        <f>IF('Project Summary'!$E$26=0,INDEX(CMPCF[%],MATCH('Air Tanks'!C15,CMPCF[Building Schedule],0)),'Project Summary'!$E$26)</f>
        <v>#N/A</v>
      </c>
      <c r="N15" s="141">
        <f t="shared" si="1"/>
        <v>0</v>
      </c>
      <c r="O15" s="142">
        <f t="shared" si="2"/>
        <v>0</v>
      </c>
      <c r="P15" s="143">
        <f t="shared" si="3"/>
        <v>0</v>
      </c>
      <c r="Q15" s="34"/>
      <c r="R15" s="34"/>
    </row>
    <row r="16" spans="1:18" x14ac:dyDescent="0.25">
      <c r="A16" s="124">
        <v>9</v>
      </c>
      <c r="B16" s="45"/>
      <c r="C16" s="45"/>
      <c r="D16" s="53"/>
      <c r="E16" s="45"/>
      <c r="F16" s="45"/>
      <c r="G16" s="110">
        <v>0.746</v>
      </c>
      <c r="H16" s="110">
        <v>0.92</v>
      </c>
      <c r="I16" s="169">
        <v>0.1</v>
      </c>
      <c r="J16" s="110">
        <v>0.91</v>
      </c>
      <c r="K16" s="170">
        <f t="shared" si="0"/>
        <v>0</v>
      </c>
      <c r="L16" s="124" t="e">
        <f>IF('Project Summary'!$E$25=0,INDEX(CMPHours[Hours],MATCH('Air Tanks'!C16,CMPHours[Building Schedule],0)),'Project Summary'!$E$25)</f>
        <v>#N/A</v>
      </c>
      <c r="M16" s="125" t="e">
        <f>IF('Project Summary'!$E$26=0,INDEX(CMPCF[%],MATCH('Air Tanks'!C16,CMPCF[Building Schedule],0)),'Project Summary'!$E$26)</f>
        <v>#N/A</v>
      </c>
      <c r="N16" s="141">
        <f t="shared" si="1"/>
        <v>0</v>
      </c>
      <c r="O16" s="142">
        <f t="shared" si="2"/>
        <v>0</v>
      </c>
      <c r="P16" s="143">
        <f t="shared" si="3"/>
        <v>0</v>
      </c>
      <c r="Q16" s="34"/>
      <c r="R16" s="34"/>
    </row>
    <row r="17" spans="1:18" ht="15.75" thickBot="1" x14ac:dyDescent="0.3">
      <c r="A17" s="128">
        <v>10</v>
      </c>
      <c r="B17" s="46"/>
      <c r="C17" s="46"/>
      <c r="D17" s="54"/>
      <c r="E17" s="46"/>
      <c r="F17" s="46"/>
      <c r="G17" s="129">
        <v>0.746</v>
      </c>
      <c r="H17" s="129">
        <v>0.92</v>
      </c>
      <c r="I17" s="169">
        <v>0.1</v>
      </c>
      <c r="J17" s="110">
        <v>0.91</v>
      </c>
      <c r="K17" s="170">
        <f t="shared" si="0"/>
        <v>0</v>
      </c>
      <c r="L17" s="124" t="e">
        <f>IF('Project Summary'!$E$25=0,INDEX(CMPHours[Hours],MATCH('Air Tanks'!C17,CMPHours[Building Schedule],0)),'Project Summary'!$E$25)</f>
        <v>#N/A</v>
      </c>
      <c r="M17" s="125" t="e">
        <f>IF('Project Summary'!$E$26=0,INDEX(CMPCF[%],MATCH('Air Tanks'!C17,CMPCF[Building Schedule],0)),'Project Summary'!$E$26)</f>
        <v>#N/A</v>
      </c>
      <c r="N17" s="141">
        <f t="shared" si="1"/>
        <v>0</v>
      </c>
      <c r="O17" s="142">
        <f t="shared" si="2"/>
        <v>0</v>
      </c>
      <c r="P17" s="143">
        <f t="shared" si="3"/>
        <v>0</v>
      </c>
      <c r="Q17" s="34"/>
      <c r="R17" s="34"/>
    </row>
    <row r="18" spans="1:18" hidden="1" x14ac:dyDescent="0.25">
      <c r="A18" s="144" t="s">
        <v>164</v>
      </c>
      <c r="B18" s="145"/>
      <c r="C18" s="145"/>
      <c r="D18" s="144"/>
      <c r="E18" s="145"/>
      <c r="F18" s="171"/>
      <c r="G18" s="172"/>
      <c r="H18" s="173"/>
      <c r="I18" s="173"/>
      <c r="J18" s="173"/>
      <c r="K18" s="174"/>
      <c r="L18" s="172"/>
      <c r="M18" s="173"/>
      <c r="N18" s="175">
        <f>SUM(N8:N17)</f>
        <v>0</v>
      </c>
      <c r="O18" s="176"/>
      <c r="P18" s="177">
        <f>SUM(P8:P17)</f>
        <v>0</v>
      </c>
      <c r="Q18" s="34"/>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bHciRFBCVBGtkVcckTVjLIcZ96Vqi+6+EdM4k6d+4d+H9zDCQFfUT1h+YXrMtNVweWzsp4YStHSQR7PzZ5p4cQ==" saltValue="5VoMqD3Jbi06C/OrLdE1EQ==" spinCount="100000" sheet="1" selectLockedCells="1"/>
  <mergeCells count="5">
    <mergeCell ref="A6:C6"/>
    <mergeCell ref="L6:P6"/>
    <mergeCell ref="D6:K6"/>
    <mergeCell ref="A2:F2"/>
    <mergeCell ref="A3:F4"/>
  </mergeCells>
  <dataValidations count="1">
    <dataValidation errorStyle="information" allowBlank="1" showInputMessage="1" showErrorMessage="1" errorTitle="Gal/CFM Error" error="A minimum ratio of 4 gal/cfm is required. The entered ratio is not eligible._x000a_" sqref="K8:K17"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'Lookup Tables'!$A$11:$A$14</xm:f>
          </x14:formula1>
          <xm:sqref>C8:C17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217E6C407DF643B5A1C94F02ABE04C" ma:contentTypeVersion="14" ma:contentTypeDescription="Create a new document." ma:contentTypeScope="" ma:versionID="9fb1cd8b46bd4988e69b50f966cc3b79">
  <xsd:schema xmlns:xsd="http://www.w3.org/2001/XMLSchema" xmlns:xs="http://www.w3.org/2001/XMLSchema" xmlns:p="http://schemas.microsoft.com/office/2006/metadata/properties" xmlns:ns2="1d472983-758f-460a-9d25-2f3e48ce7773" xmlns:ns3="5e6c1615-f3e2-40d0-ada0-fb8b08d4addb" targetNamespace="http://schemas.microsoft.com/office/2006/metadata/properties" ma:root="true" ma:fieldsID="6a29cdb338cd20d94448d0d643d368e3" ns2:_="" ns3:_="">
    <xsd:import namespace="1d472983-758f-460a-9d25-2f3e48ce7773"/>
    <xsd:import namespace="5e6c1615-f3e2-40d0-ada0-fb8b08d4ad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472983-758f-460a-9d25-2f3e48ce77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16" nillable="true" ma:displayName="Taxonomy Catch All Column" ma:hidden="true" ma:list="{fdaf0a10-1d80-4be9-8111-8efc920c6e93}" ma:internalName="TaxCatchAll" ma:showField="CatchAllData" ma:web="1d472983-758f-460a-9d25-2f3e48ce77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6c1615-f3e2-40d0-ada0-fb8b08d4add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d472983-758f-460a-9d25-2f3e48ce7773" xsi:nil="true"/>
    <lcf76f155ced4ddcb4097134ff3c332f xmlns="5e6c1615-f3e2-40d0-ada0-fb8b08d4add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F34BD5-F4F9-4AAE-8A76-140A30657E5B}"/>
</file>

<file path=customXml/itemProps2.xml><?xml version="1.0" encoding="utf-8"?>
<ds:datastoreItem xmlns:ds="http://schemas.openxmlformats.org/officeDocument/2006/customXml" ds:itemID="{6B863024-82B0-4E4B-B225-088E3561992F}">
  <ds:schemaRefs>
    <ds:schemaRef ds:uri="http://schemas.microsoft.com/office/2006/metadata/properties"/>
    <ds:schemaRef ds:uri="http://schemas.microsoft.com/office/infopath/2007/PartnerControls"/>
    <ds:schemaRef ds:uri="http://schemas.microsoft.com/sharepoint/v3"/>
    <ds:schemaRef ds:uri="7ac9e20b-1dbf-4037-8b68-087444dc2ecf"/>
    <ds:schemaRef ds:uri="cbc74c14-02a4-46af-926d-0fbb104e9968"/>
  </ds:schemaRefs>
</ds:datastoreItem>
</file>

<file path=customXml/itemProps3.xml><?xml version="1.0" encoding="utf-8"?>
<ds:datastoreItem xmlns:ds="http://schemas.openxmlformats.org/officeDocument/2006/customXml" ds:itemID="{0D24468F-9532-4855-B908-7C00F57FF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ADM Review Comments</vt:lpstr>
      <vt:lpstr>Instructions</vt:lpstr>
      <vt:lpstr>Methodology</vt:lpstr>
      <vt:lpstr>Project Summary</vt:lpstr>
      <vt:lpstr>Air Compressor</vt:lpstr>
      <vt:lpstr>Cycling Dryer</vt:lpstr>
      <vt:lpstr>Air Nozzle</vt:lpstr>
      <vt:lpstr>Condensate Drains</vt:lpstr>
      <vt:lpstr>Air Tanks</vt:lpstr>
      <vt:lpstr>Version Log</vt:lpstr>
      <vt:lpstr>Lookup Tables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Novosedliak</dc:creator>
  <cp:keywords/>
  <dc:description/>
  <cp:lastModifiedBy>Jacob Steele</cp:lastModifiedBy>
  <cp:revision/>
  <dcterms:created xsi:type="dcterms:W3CDTF">2016-04-18T12:36:02Z</dcterms:created>
  <dcterms:modified xsi:type="dcterms:W3CDTF">2025-07-10T20:26:47Z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0x01010019217E6C407DF643B5A1C94F02ABE04C</vt:lpwstr>
  </property>
  <property fmtid="{D5CDD505-2E9C-101B-9397-08002B2CF9AE}" pid="3" name="MediaServiceImageTags">
    <vt:lpwstr/>
  </property>
</Properties>
</file>